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ОТЧЕТЫ\2023\Паспорта ИП\"/>
    </mc:Choice>
  </mc:AlternateContent>
  <xr:revisionPtr revIDLastSave="0" documentId="13_ncr:1_{CB80B008-3D5F-4275-9F27-FDDDDD6048D7}" xr6:coauthVersionLast="47" xr6:coauthVersionMax="47" xr10:uidLastSave="{00000000-0000-0000-0000-000000000000}"/>
  <bookViews>
    <workbookView xWindow="-120" yWindow="-120" windowWidth="29040" windowHeight="15840" tabRatio="906"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4" r:id="rId4"/>
    <sheet name="3.2 паспорт Техсостояние ЛЭП"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49" i="1" l="1"/>
  <c r="C48" i="1"/>
  <c r="C97" i="12"/>
  <c r="C100" i="12" s="1"/>
  <c r="C93" i="12"/>
  <c r="C96" i="12" s="1"/>
  <c r="C89" i="12"/>
  <c r="C91" i="12" s="1"/>
  <c r="C92" i="12" s="1"/>
  <c r="C85" i="12"/>
  <c r="C87" i="12" s="1"/>
  <c r="C88" i="12" s="1"/>
  <c r="C81" i="12"/>
  <c r="C83" i="12" s="1"/>
  <c r="C84" i="12" s="1"/>
  <c r="C77" i="12"/>
  <c r="C79" i="12" s="1"/>
  <c r="C80" i="12" s="1"/>
  <c r="C73" i="12"/>
  <c r="C75" i="12" s="1"/>
  <c r="C76" i="12" s="1"/>
  <c r="C69" i="12"/>
  <c r="C71" i="12" s="1"/>
  <c r="C72" i="12" s="1"/>
  <c r="C65" i="12"/>
  <c r="C67" i="12" s="1"/>
  <c r="C68" i="12" s="1"/>
  <c r="C61" i="12"/>
  <c r="C63" i="12" s="1"/>
  <c r="C64" i="12" s="1"/>
  <c r="C57" i="12"/>
  <c r="C56" i="12" s="1"/>
  <c r="C28" i="12" s="1"/>
  <c r="C52" i="12"/>
  <c r="C54" i="12" s="1"/>
  <c r="C55" i="12" s="1"/>
  <c r="C48" i="12"/>
  <c r="C51" i="12" s="1"/>
  <c r="C44" i="12"/>
  <c r="C47" i="12" s="1"/>
  <c r="C43" i="12"/>
  <c r="C42" i="12"/>
  <c r="C40" i="12"/>
  <c r="C38" i="12"/>
  <c r="C39" i="12" s="1"/>
  <c r="C36" i="12"/>
  <c r="C35" i="12"/>
  <c r="C24" i="12"/>
  <c r="A15" i="12"/>
  <c r="C19" i="12" s="1"/>
  <c r="A12" i="12"/>
  <c r="A5" i="12"/>
  <c r="P57" i="11"/>
  <c r="R57" i="11" s="1"/>
  <c r="AD56" i="11"/>
  <c r="AE56" i="11" s="1"/>
  <c r="R56" i="11"/>
  <c r="AB56" i="11" s="1"/>
  <c r="P56" i="11"/>
  <c r="P55" i="11"/>
  <c r="R55" i="11" s="1"/>
  <c r="R54" i="11"/>
  <c r="AD54" i="11" s="1"/>
  <c r="AE54" i="11" s="1"/>
  <c r="P54" i="11"/>
  <c r="P53" i="11"/>
  <c r="R53" i="11" s="1"/>
  <c r="AD52" i="11"/>
  <c r="AE52" i="11" s="1"/>
  <c r="R52" i="11"/>
  <c r="AB52" i="11" s="1"/>
  <c r="P52" i="11"/>
  <c r="P51" i="11"/>
  <c r="R51" i="11" s="1"/>
  <c r="R50" i="11"/>
  <c r="AD50" i="11" s="1"/>
  <c r="AE50" i="11" s="1"/>
  <c r="P50" i="11"/>
  <c r="P49" i="11"/>
  <c r="R49" i="11" s="1"/>
  <c r="R48" i="11"/>
  <c r="AB48" i="11" s="1"/>
  <c r="AD48" i="11" s="1"/>
  <c r="AE48" i="11" s="1"/>
  <c r="P48" i="11"/>
  <c r="AB47" i="11"/>
  <c r="AD47" i="11" s="1"/>
  <c r="AE47" i="11" s="1"/>
  <c r="R47" i="11"/>
  <c r="AE46" i="11"/>
  <c r="AD46" i="11"/>
  <c r="P46" i="11"/>
  <c r="R46" i="11" s="1"/>
  <c r="AB46" i="11" s="1"/>
  <c r="AD45" i="11"/>
  <c r="AE45" i="11" s="1"/>
  <c r="R45" i="11"/>
  <c r="AB45" i="11" s="1"/>
  <c r="P45" i="11"/>
  <c r="AE44" i="11"/>
  <c r="AD44" i="11"/>
  <c r="P44" i="11"/>
  <c r="R44" i="11" s="1"/>
  <c r="AB44" i="11" s="1"/>
  <c r="AD43" i="11"/>
  <c r="AE43" i="11" s="1"/>
  <c r="R43" i="11"/>
  <c r="AB43" i="11" s="1"/>
  <c r="P43" i="11"/>
  <c r="AE42" i="11"/>
  <c r="AD42" i="11"/>
  <c r="P42" i="11"/>
  <c r="R42" i="11" s="1"/>
  <c r="AB42" i="11" s="1"/>
  <c r="AD41" i="11"/>
  <c r="AE41" i="11" s="1"/>
  <c r="R41" i="11"/>
  <c r="AB41" i="11" s="1"/>
  <c r="P41" i="11"/>
  <c r="AE40" i="11"/>
  <c r="AD40" i="11"/>
  <c r="P40" i="11"/>
  <c r="R40" i="11" s="1"/>
  <c r="AB40" i="11" s="1"/>
  <c r="AD39" i="11"/>
  <c r="AE39" i="11" s="1"/>
  <c r="R39" i="11"/>
  <c r="AB39" i="11" s="1"/>
  <c r="P39" i="11"/>
  <c r="AE38" i="11"/>
  <c r="AD38" i="11"/>
  <c r="P38" i="11"/>
  <c r="R38" i="11" s="1"/>
  <c r="AB38" i="11" s="1"/>
  <c r="AD37" i="11"/>
  <c r="AE37" i="11" s="1"/>
  <c r="R37" i="11"/>
  <c r="AB37" i="11" s="1"/>
  <c r="P37" i="11"/>
  <c r="AE36" i="11"/>
  <c r="AD36" i="11"/>
  <c r="P36" i="11"/>
  <c r="R36" i="11" s="1"/>
  <c r="AB36" i="11" s="1"/>
  <c r="AD35" i="11"/>
  <c r="AE35" i="11" s="1"/>
  <c r="R35" i="11"/>
  <c r="AB35" i="11" s="1"/>
  <c r="P35" i="11"/>
  <c r="AE34" i="11"/>
  <c r="AD34" i="11"/>
  <c r="P34" i="11"/>
  <c r="R34" i="11" s="1"/>
  <c r="AB34" i="11" s="1"/>
  <c r="AD33" i="11"/>
  <c r="AE33" i="11" s="1"/>
  <c r="R33" i="11"/>
  <c r="AB33" i="11" s="1"/>
  <c r="P33" i="11"/>
  <c r="AE32" i="11"/>
  <c r="AD32" i="11"/>
  <c r="P32" i="11"/>
  <c r="R32" i="11" s="1"/>
  <c r="AB32" i="11" s="1"/>
  <c r="AD31" i="11"/>
  <c r="AE31" i="11" s="1"/>
  <c r="R31" i="11"/>
  <c r="AB31" i="11" s="1"/>
  <c r="P31" i="11"/>
  <c r="AE30" i="11"/>
  <c r="AD30" i="11"/>
  <c r="P30" i="11"/>
  <c r="R30" i="11" s="1"/>
  <c r="AB30" i="11" s="1"/>
  <c r="AD29" i="11"/>
  <c r="AE29" i="11" s="1"/>
  <c r="R29" i="11"/>
  <c r="AB29" i="11" s="1"/>
  <c r="P29" i="11"/>
  <c r="AD28" i="11"/>
  <c r="AE28" i="11" s="1"/>
  <c r="P28" i="11"/>
  <c r="R28" i="11" s="1"/>
  <c r="AB28" i="11" s="1"/>
  <c r="AD27" i="11"/>
  <c r="AB27" i="11"/>
  <c r="R27" i="11"/>
  <c r="P27" i="11"/>
  <c r="AE23" i="11"/>
  <c r="X23" i="11"/>
  <c r="AB23" i="11" s="1"/>
  <c r="P23" i="11"/>
  <c r="P59" i="11" s="1"/>
  <c r="A15" i="11"/>
  <c r="A12" i="11"/>
  <c r="A5" i="11"/>
  <c r="AD62" i="10"/>
  <c r="AC62" i="10"/>
  <c r="N62" i="10"/>
  <c r="L62" i="10"/>
  <c r="N56" i="10"/>
  <c r="M56" i="10"/>
  <c r="L56" i="10"/>
  <c r="AC55" i="10"/>
  <c r="N55" i="10"/>
  <c r="M55" i="10"/>
  <c r="L55" i="10"/>
  <c r="E55" i="10"/>
  <c r="N49" i="10"/>
  <c r="L49" i="10"/>
  <c r="F49" i="10"/>
  <c r="AC46" i="10"/>
  <c r="N46" i="10"/>
  <c r="M46" i="10"/>
  <c r="L46" i="10"/>
  <c r="F46" i="10"/>
  <c r="E46" i="10"/>
  <c r="N41" i="10"/>
  <c r="L41" i="10"/>
  <c r="AC38" i="10"/>
  <c r="N38" i="10"/>
  <c r="M38" i="10"/>
  <c r="L38" i="10"/>
  <c r="F38" i="10"/>
  <c r="E38" i="10"/>
  <c r="AD34" i="10"/>
  <c r="AD33" i="10"/>
  <c r="N33" i="10"/>
  <c r="AD32" i="10"/>
  <c r="N32" i="10"/>
  <c r="N29" i="10" s="1"/>
  <c r="AD31" i="10"/>
  <c r="N31" i="10"/>
  <c r="F31" i="10"/>
  <c r="E31" i="10"/>
  <c r="L31" i="10" s="1"/>
  <c r="AD30" i="10"/>
  <c r="AD29" i="10" s="1"/>
  <c r="AD51" i="10" s="1"/>
  <c r="N30" i="10"/>
  <c r="L30" i="10"/>
  <c r="AC30" i="10" s="1"/>
  <c r="F30" i="10"/>
  <c r="E30" i="10"/>
  <c r="P29" i="10"/>
  <c r="P51" i="10" s="1"/>
  <c r="O29" i="10"/>
  <c r="O51" i="10" s="1"/>
  <c r="N51" i="10" s="1"/>
  <c r="F29" i="10"/>
  <c r="E29" i="10"/>
  <c r="D29" i="10"/>
  <c r="D51" i="10" s="1"/>
  <c r="C29" i="10"/>
  <c r="C51" i="10" s="1"/>
  <c r="AD26" i="10"/>
  <c r="AC26" i="10"/>
  <c r="AC23" i="10" s="1"/>
  <c r="N26" i="10"/>
  <c r="L26" i="10"/>
  <c r="F26" i="10"/>
  <c r="E26" i="10"/>
  <c r="AD23" i="10"/>
  <c r="P23" i="10"/>
  <c r="O23" i="10"/>
  <c r="N23" i="10"/>
  <c r="M23" i="10"/>
  <c r="L23" i="10"/>
  <c r="F23" i="10"/>
  <c r="E23" i="10"/>
  <c r="D23" i="10"/>
  <c r="C23" i="10"/>
  <c r="C25" i="12" s="1"/>
  <c r="A15" i="10"/>
  <c r="A15" i="9" s="1"/>
  <c r="A12" i="10"/>
  <c r="A5" i="10"/>
  <c r="A12" i="9"/>
  <c r="A5" i="9"/>
  <c r="B79" i="8"/>
  <c r="D77" i="8"/>
  <c r="B77" i="8"/>
  <c r="B84" i="8" s="1"/>
  <c r="V74" i="8"/>
  <c r="U74" i="8"/>
  <c r="T74" i="8"/>
  <c r="S74" i="8"/>
  <c r="R74" i="8"/>
  <c r="O74" i="8"/>
  <c r="K74" i="8"/>
  <c r="G74" i="8"/>
  <c r="C74" i="8"/>
  <c r="B74" i="8"/>
  <c r="C72" i="8"/>
  <c r="D72" i="8" s="1"/>
  <c r="E72" i="8" s="1"/>
  <c r="F72" i="8" s="1"/>
  <c r="G72" i="8" s="1"/>
  <c r="H72" i="8" s="1"/>
  <c r="I72" i="8" s="1"/>
  <c r="J72" i="8" s="1"/>
  <c r="K72" i="8" s="1"/>
  <c r="L72" i="8" s="1"/>
  <c r="M72" i="8" s="1"/>
  <c r="N72" i="8" s="1"/>
  <c r="O72" i="8" s="1"/>
  <c r="P72" i="8" s="1"/>
  <c r="Q72" i="8" s="1"/>
  <c r="R72" i="8" s="1"/>
  <c r="S72" i="8" s="1"/>
  <c r="T72" i="8" s="1"/>
  <c r="U72" i="8" s="1"/>
  <c r="V72" i="8" s="1"/>
  <c r="B65" i="8"/>
  <c r="Q64" i="8"/>
  <c r="P64" i="8"/>
  <c r="O64" i="8"/>
  <c r="N64" i="8"/>
  <c r="N74" i="8" s="1"/>
  <c r="M64" i="8"/>
  <c r="L64" i="8"/>
  <c r="K64" i="8"/>
  <c r="J64" i="8"/>
  <c r="J74" i="8" s="1"/>
  <c r="I64" i="8"/>
  <c r="H64" i="8"/>
  <c r="G64" i="8"/>
  <c r="F64" i="8"/>
  <c r="F74" i="8" s="1"/>
  <c r="E64" i="8"/>
  <c r="D64" i="8"/>
  <c r="C64" i="8"/>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F53" i="8"/>
  <c r="G53" i="8" s="1"/>
  <c r="H53" i="8" s="1"/>
  <c r="I53" i="8" s="1"/>
  <c r="J53" i="8" s="1"/>
  <c r="K53" i="8" s="1"/>
  <c r="L53" i="8" s="1"/>
  <c r="M53" i="8" s="1"/>
  <c r="N53" i="8" s="1"/>
  <c r="O53" i="8" s="1"/>
  <c r="P53" i="8" s="1"/>
  <c r="Q53" i="8" s="1"/>
  <c r="R53" i="8" s="1"/>
  <c r="S53" i="8" s="1"/>
  <c r="T53" i="8" s="1"/>
  <c r="U53" i="8" s="1"/>
  <c r="V53" i="8" s="1"/>
  <c r="B49" i="8"/>
  <c r="F47" i="8"/>
  <c r="G47" i="8" s="1"/>
  <c r="H47" i="8" s="1"/>
  <c r="I47" i="8" s="1"/>
  <c r="J47" i="8" s="1"/>
  <c r="K47" i="8" s="1"/>
  <c r="L47" i="8" s="1"/>
  <c r="M47" i="8" s="1"/>
  <c r="N47" i="8" s="1"/>
  <c r="O47" i="8" s="1"/>
  <c r="P47" i="8" s="1"/>
  <c r="Q47" i="8" s="1"/>
  <c r="R47" i="8" s="1"/>
  <c r="S47" i="8" s="1"/>
  <c r="T47" i="8" s="1"/>
  <c r="U47" i="8" s="1"/>
  <c r="V47" i="8" s="1"/>
  <c r="C45" i="8"/>
  <c r="C54" i="8" s="1"/>
  <c r="B44" i="8"/>
  <c r="B60" i="8" s="1"/>
  <c r="B55" i="8" s="1"/>
  <c r="C42" i="8"/>
  <c r="C59" i="8" s="1"/>
  <c r="A15" i="8"/>
  <c r="A12" i="8"/>
  <c r="A5" i="8"/>
  <c r="A15" i="7"/>
  <c r="A12" i="7"/>
  <c r="A5" i="7"/>
  <c r="A14" i="6"/>
  <c r="A11" i="6"/>
  <c r="A4" i="6"/>
  <c r="A15" i="5"/>
  <c r="A12" i="5"/>
  <c r="A5" i="5"/>
  <c r="A15" i="4"/>
  <c r="A12" i="4"/>
  <c r="A5" i="4"/>
  <c r="A15" i="3"/>
  <c r="A12" i="3"/>
  <c r="A5" i="3"/>
  <c r="A14" i="2"/>
  <c r="A11" i="2"/>
  <c r="A4" i="2"/>
  <c r="C78" i="8" l="1"/>
  <c r="C56" i="8"/>
  <c r="B63" i="8"/>
  <c r="B66" i="8" s="1"/>
  <c r="AB53" i="11"/>
  <c r="AD53" i="11"/>
  <c r="AE53" i="11" s="1"/>
  <c r="D42" i="8"/>
  <c r="C44" i="8"/>
  <c r="D57" i="8"/>
  <c r="C65" i="8"/>
  <c r="D62" i="8" s="1"/>
  <c r="AD51" i="11"/>
  <c r="AE51" i="11" s="1"/>
  <c r="AB51" i="11"/>
  <c r="D45" i="8"/>
  <c r="D65" i="8"/>
  <c r="E62" i="8" s="1"/>
  <c r="B78" i="8"/>
  <c r="B50" i="8"/>
  <c r="D74" i="8"/>
  <c r="H74" i="8"/>
  <c r="L74" i="8"/>
  <c r="P74" i="8"/>
  <c r="E77" i="8"/>
  <c r="M31" i="10"/>
  <c r="AC31" i="10"/>
  <c r="AC29" i="10" s="1"/>
  <c r="AB49" i="11"/>
  <c r="AD49" i="11"/>
  <c r="AE49" i="11" s="1"/>
  <c r="E74" i="8"/>
  <c r="I74" i="8"/>
  <c r="M74" i="8"/>
  <c r="Q74" i="8"/>
  <c r="B85" i="8"/>
  <c r="B88" i="8" s="1"/>
  <c r="F77" i="8"/>
  <c r="C53" i="12"/>
  <c r="C49" i="12"/>
  <c r="C45" i="12"/>
  <c r="C41" i="12"/>
  <c r="C37" i="12"/>
  <c r="E51" i="10"/>
  <c r="AC51" i="10"/>
  <c r="L51" i="10"/>
  <c r="M51" i="10" s="1"/>
  <c r="F51" i="10"/>
  <c r="C77" i="8"/>
  <c r="G77" i="8"/>
  <c r="AD55" i="11"/>
  <c r="AE55" i="11" s="1"/>
  <c r="AB55" i="11"/>
  <c r="AB57" i="11"/>
  <c r="AD57" i="11"/>
  <c r="AE57" i="11" s="1"/>
  <c r="M30" i="10"/>
  <c r="M29" i="10" s="1"/>
  <c r="R23" i="11"/>
  <c r="R59" i="11" s="1"/>
  <c r="AE27" i="11"/>
  <c r="AE59" i="11" s="1"/>
  <c r="AB50" i="11"/>
  <c r="AB59" i="11" s="1"/>
  <c r="AB54" i="11"/>
  <c r="C46" i="12"/>
  <c r="C50" i="12"/>
  <c r="C58" i="12"/>
  <c r="C62" i="12"/>
  <c r="C66" i="12"/>
  <c r="C70" i="12"/>
  <c r="C74" i="12"/>
  <c r="C78" i="12"/>
  <c r="C82" i="12"/>
  <c r="C86" i="12"/>
  <c r="C90" i="12"/>
  <c r="C94" i="12"/>
  <c r="C98" i="12"/>
  <c r="L29" i="10"/>
  <c r="C59" i="12"/>
  <c r="C60" i="12" s="1"/>
  <c r="C95" i="12"/>
  <c r="C99" i="12"/>
  <c r="C48" i="8" l="1"/>
  <c r="B51" i="8"/>
  <c r="B67" i="8" s="1"/>
  <c r="B75" i="8" s="1"/>
  <c r="C60" i="8"/>
  <c r="D44" i="8"/>
  <c r="B73" i="8"/>
  <c r="B80" i="8"/>
  <c r="AD59" i="11"/>
  <c r="D59" i="8"/>
  <c r="E57" i="8"/>
  <c r="E42" i="8"/>
  <c r="C55" i="8"/>
  <c r="C63" i="8" s="1"/>
  <c r="C66" i="8" s="1"/>
  <c r="E45" i="8"/>
  <c r="D54" i="8"/>
  <c r="E65" i="8"/>
  <c r="F62" i="8" l="1"/>
  <c r="F65" i="8"/>
  <c r="E44" i="8"/>
  <c r="D60" i="8"/>
  <c r="D78" i="8"/>
  <c r="D56" i="8"/>
  <c r="F57" i="8"/>
  <c r="F42" i="8"/>
  <c r="E59" i="8"/>
  <c r="C73" i="8"/>
  <c r="F45" i="8"/>
  <c r="E54" i="8"/>
  <c r="B68" i="8"/>
  <c r="C50" i="8"/>
  <c r="D55" i="8" l="1"/>
  <c r="D63" i="8" s="1"/>
  <c r="D66" i="8" s="1"/>
  <c r="F44" i="8"/>
  <c r="E60" i="8"/>
  <c r="C80" i="8"/>
  <c r="C51" i="8"/>
  <c r="C67" i="8" s="1"/>
  <c r="G62" i="8"/>
  <c r="G65" i="8"/>
  <c r="B69" i="8"/>
  <c r="E78" i="8"/>
  <c r="E56" i="8"/>
  <c r="D48" i="8"/>
  <c r="F54" i="8"/>
  <c r="G45" i="8"/>
  <c r="G42" i="8"/>
  <c r="F59" i="8"/>
  <c r="G57" i="8"/>
  <c r="G54" i="8" l="1"/>
  <c r="H45" i="8"/>
  <c r="H62" i="8"/>
  <c r="H65" i="8"/>
  <c r="F78" i="8"/>
  <c r="F56" i="8"/>
  <c r="F60" i="8"/>
  <c r="G44" i="8"/>
  <c r="D50" i="8"/>
  <c r="C75" i="8"/>
  <c r="C68" i="8"/>
  <c r="D73" i="8"/>
  <c r="B76" i="8"/>
  <c r="B81" i="8" s="1"/>
  <c r="G59" i="8"/>
  <c r="H57" i="8"/>
  <c r="H42" i="8"/>
  <c r="E55" i="8"/>
  <c r="E63" i="8" s="1"/>
  <c r="E66" i="8" s="1"/>
  <c r="B70" i="8"/>
  <c r="B86" i="8" l="1"/>
  <c r="B82" i="8"/>
  <c r="B87" i="8" s="1"/>
  <c r="D51" i="8"/>
  <c r="D67" i="8" s="1"/>
  <c r="D80" i="8"/>
  <c r="H59" i="8"/>
  <c r="I57" i="8"/>
  <c r="I42" i="8"/>
  <c r="E48" i="8"/>
  <c r="F55" i="8"/>
  <c r="F63" i="8" s="1"/>
  <c r="F66" i="8" s="1"/>
  <c r="I45" i="8"/>
  <c r="H54" i="8"/>
  <c r="E73" i="8"/>
  <c r="I62" i="8"/>
  <c r="I65" i="8"/>
  <c r="C69" i="8"/>
  <c r="G60" i="8"/>
  <c r="H44" i="8"/>
  <c r="G78" i="8"/>
  <c r="G63" i="8"/>
  <c r="G66" i="8" s="1"/>
  <c r="G56" i="8"/>
  <c r="G55" i="8" s="1"/>
  <c r="G73" i="8" l="1"/>
  <c r="C76" i="8"/>
  <c r="C81" i="8" s="1"/>
  <c r="H78" i="8"/>
  <c r="H56" i="8"/>
  <c r="J57" i="8"/>
  <c r="J42" i="8"/>
  <c r="I59" i="8"/>
  <c r="D75" i="8"/>
  <c r="D68" i="8"/>
  <c r="J45" i="8"/>
  <c r="I54" i="8"/>
  <c r="C70" i="8"/>
  <c r="F73" i="8"/>
  <c r="I44" i="8"/>
  <c r="H60" i="8"/>
  <c r="J62" i="8"/>
  <c r="J65" i="8"/>
  <c r="E50" i="8"/>
  <c r="F48" i="8" s="1"/>
  <c r="F50" i="8" l="1"/>
  <c r="G48" i="8" s="1"/>
  <c r="K57" i="8"/>
  <c r="K42" i="8"/>
  <c r="J54" i="8"/>
  <c r="K45" i="8"/>
  <c r="E80" i="8"/>
  <c r="E51" i="8"/>
  <c r="E67" i="8" s="1"/>
  <c r="I60" i="8"/>
  <c r="J44" i="8"/>
  <c r="D70" i="8"/>
  <c r="D69" i="8"/>
  <c r="K62" i="8"/>
  <c r="K65" i="8"/>
  <c r="I78" i="8"/>
  <c r="I56" i="8"/>
  <c r="I55" i="8" s="1"/>
  <c r="I63" i="8" s="1"/>
  <c r="I66" i="8" s="1"/>
  <c r="H55" i="8"/>
  <c r="H63" i="8" s="1"/>
  <c r="H66" i="8" s="1"/>
  <c r="C84" i="8"/>
  <c r="C86" i="8"/>
  <c r="C82" i="8"/>
  <c r="C87" i="8" s="1"/>
  <c r="I73" i="8" l="1"/>
  <c r="G50" i="8"/>
  <c r="L57" i="8"/>
  <c r="L42" i="8"/>
  <c r="L62" i="8"/>
  <c r="L65" i="8"/>
  <c r="J60" i="8"/>
  <c r="K44" i="8"/>
  <c r="K54" i="8"/>
  <c r="L45" i="8"/>
  <c r="C85" i="8"/>
  <c r="C88" i="8" s="1"/>
  <c r="J56" i="8"/>
  <c r="J55" i="8" s="1"/>
  <c r="J63" i="8"/>
  <c r="J66" i="8" s="1"/>
  <c r="J78" i="8"/>
  <c r="H73" i="8"/>
  <c r="D76" i="8"/>
  <c r="D81" i="8" s="1"/>
  <c r="E75" i="8"/>
  <c r="E68" i="8"/>
  <c r="J59" i="8"/>
  <c r="F80" i="8"/>
  <c r="F51" i="8"/>
  <c r="F67" i="8" s="1"/>
  <c r="E69" i="8" l="1"/>
  <c r="E70" i="8" s="1"/>
  <c r="J73" i="8"/>
  <c r="K78" i="8"/>
  <c r="K56" i="8"/>
  <c r="G80" i="8"/>
  <c r="G51" i="8"/>
  <c r="G67" i="8" s="1"/>
  <c r="D84" i="8"/>
  <c r="D86" i="8"/>
  <c r="D82" i="8"/>
  <c r="D87" i="8" s="1"/>
  <c r="K60" i="8"/>
  <c r="L44" i="8"/>
  <c r="L59" i="8"/>
  <c r="M57" i="8"/>
  <c r="M42" i="8"/>
  <c r="H48" i="8"/>
  <c r="F75" i="8"/>
  <c r="F68" i="8"/>
  <c r="M45" i="8"/>
  <c r="L54" i="8"/>
  <c r="M62" i="8"/>
  <c r="M65" i="8"/>
  <c r="K59" i="8"/>
  <c r="M54" i="8" l="1"/>
  <c r="N45" i="8"/>
  <c r="N62" i="8"/>
  <c r="N65" i="8"/>
  <c r="H50" i="8"/>
  <c r="I48" i="8" s="1"/>
  <c r="M44" i="8"/>
  <c r="L60" i="8"/>
  <c r="D85" i="8"/>
  <c r="D88" i="8" s="1"/>
  <c r="K55" i="8"/>
  <c r="K63" i="8" s="1"/>
  <c r="K66" i="8" s="1"/>
  <c r="L78" i="8"/>
  <c r="L63" i="8"/>
  <c r="L66" i="8" s="1"/>
  <c r="L56" i="8"/>
  <c r="L55" i="8" s="1"/>
  <c r="N57" i="8"/>
  <c r="N42" i="8"/>
  <c r="M59" i="8"/>
  <c r="G75" i="8"/>
  <c r="G68" i="8"/>
  <c r="F70" i="8"/>
  <c r="F69" i="8"/>
  <c r="E76" i="8"/>
  <c r="E81" i="8" s="1"/>
  <c r="I50" i="8" l="1"/>
  <c r="J48" i="8" s="1"/>
  <c r="O62" i="8"/>
  <c r="O65" i="8"/>
  <c r="E84" i="8"/>
  <c r="E86" i="8"/>
  <c r="E82" i="8"/>
  <c r="E87" i="8" s="1"/>
  <c r="F76" i="8"/>
  <c r="F81" i="8" s="1"/>
  <c r="F84" i="8" s="1"/>
  <c r="G69" i="8"/>
  <c r="K73" i="8"/>
  <c r="H80" i="8"/>
  <c r="H51" i="8"/>
  <c r="H67" i="8" s="1"/>
  <c r="N54" i="8"/>
  <c r="O45" i="8"/>
  <c r="N59" i="8"/>
  <c r="O57" i="8"/>
  <c r="O42" i="8"/>
  <c r="L73" i="8"/>
  <c r="N44" i="8"/>
  <c r="M60" i="8"/>
  <c r="M78" i="8"/>
  <c r="M63" i="8"/>
  <c r="M66" i="8" s="1"/>
  <c r="M56" i="8"/>
  <c r="M55" i="8" s="1"/>
  <c r="J50" i="8" l="1"/>
  <c r="K48" i="8" s="1"/>
  <c r="H75" i="8"/>
  <c r="H68" i="8"/>
  <c r="G76" i="8"/>
  <c r="G81" i="8" s="1"/>
  <c r="G84" i="8" s="1"/>
  <c r="F86" i="8"/>
  <c r="O54" i="8"/>
  <c r="P45" i="8"/>
  <c r="G70" i="8"/>
  <c r="F82" i="8"/>
  <c r="F87" i="8" s="1"/>
  <c r="G85" i="8"/>
  <c r="E85" i="8"/>
  <c r="E88" i="8" s="1"/>
  <c r="F85" i="8"/>
  <c r="P57" i="8"/>
  <c r="P42" i="8"/>
  <c r="N56" i="8"/>
  <c r="N78" i="8"/>
  <c r="G82" i="8"/>
  <c r="G86" i="8"/>
  <c r="P62" i="8"/>
  <c r="P65" i="8"/>
  <c r="I80" i="8"/>
  <c r="I51" i="8"/>
  <c r="I67" i="8" s="1"/>
  <c r="M73" i="8"/>
  <c r="N60" i="8"/>
  <c r="O44" i="8"/>
  <c r="K50" i="8" l="1"/>
  <c r="I75" i="8"/>
  <c r="I68" i="8"/>
  <c r="O78" i="8"/>
  <c r="O56" i="8"/>
  <c r="O60" i="8"/>
  <c r="P44" i="8"/>
  <c r="H69" i="8"/>
  <c r="H76" i="8" s="1"/>
  <c r="H81" i="8" s="1"/>
  <c r="Q62" i="8"/>
  <c r="Q65" i="8"/>
  <c r="G87" i="8"/>
  <c r="P59" i="8"/>
  <c r="Q57" i="8"/>
  <c r="Q42" i="8"/>
  <c r="O59" i="8"/>
  <c r="N55" i="8"/>
  <c r="N63" i="8" s="1"/>
  <c r="N66" i="8" s="1"/>
  <c r="F88" i="8"/>
  <c r="G88" i="8"/>
  <c r="Q45" i="8"/>
  <c r="P54" i="8"/>
  <c r="J80" i="8"/>
  <c r="J51" i="8"/>
  <c r="J67" i="8" s="1"/>
  <c r="H84" i="8" l="1"/>
  <c r="H82" i="8"/>
  <c r="H87" i="8" s="1"/>
  <c r="H86" i="8"/>
  <c r="J75" i="8"/>
  <c r="J68" i="8"/>
  <c r="R57" i="8"/>
  <c r="R42" i="8"/>
  <c r="Q59" i="8"/>
  <c r="R62" i="8"/>
  <c r="R65" i="8"/>
  <c r="H70" i="8"/>
  <c r="O55" i="8"/>
  <c r="O63" i="8" s="1"/>
  <c r="O66" i="8" s="1"/>
  <c r="R45" i="8"/>
  <c r="Q54" i="8"/>
  <c r="I69" i="8"/>
  <c r="I76" i="8" s="1"/>
  <c r="I81" i="8" s="1"/>
  <c r="Q44" i="8"/>
  <c r="P60" i="8"/>
  <c r="K80" i="8"/>
  <c r="K51" i="8"/>
  <c r="K67" i="8" s="1"/>
  <c r="P78" i="8"/>
  <c r="P56" i="8"/>
  <c r="P55" i="8" s="1"/>
  <c r="P63" i="8" s="1"/>
  <c r="P66" i="8" s="1"/>
  <c r="N73" i="8"/>
  <c r="L48" i="8"/>
  <c r="I84" i="8" l="1"/>
  <c r="I86" i="8"/>
  <c r="I82" i="8"/>
  <c r="I87" i="8" s="1"/>
  <c r="P73" i="8"/>
  <c r="O73" i="8"/>
  <c r="Q78" i="8"/>
  <c r="Q56" i="8"/>
  <c r="S57" i="8"/>
  <c r="S42" i="8"/>
  <c r="R59" i="8"/>
  <c r="R44" i="8"/>
  <c r="Q60" i="8"/>
  <c r="R54" i="8"/>
  <c r="S45" i="8"/>
  <c r="S65" i="8"/>
  <c r="S62" i="8"/>
  <c r="L50" i="8"/>
  <c r="M48" i="8"/>
  <c r="K75" i="8"/>
  <c r="K68" i="8"/>
  <c r="I70" i="8"/>
  <c r="J69" i="8"/>
  <c r="J76" i="8" s="1"/>
  <c r="J81" i="8" s="1"/>
  <c r="H85" i="8"/>
  <c r="H88" i="8" s="1"/>
  <c r="I85" i="8"/>
  <c r="I88" i="8" s="1"/>
  <c r="J84" i="8" l="1"/>
  <c r="J86" i="8"/>
  <c r="J82" i="8"/>
  <c r="J87" i="8" s="1"/>
  <c r="J70" i="8"/>
  <c r="T65" i="8"/>
  <c r="T62" i="8"/>
  <c r="R60" i="8"/>
  <c r="S44" i="8"/>
  <c r="Q55" i="8"/>
  <c r="Q63" i="8" s="1"/>
  <c r="Q66" i="8" s="1"/>
  <c r="K81" i="8"/>
  <c r="M50" i="8"/>
  <c r="N48" i="8"/>
  <c r="S54" i="8"/>
  <c r="T45" i="8"/>
  <c r="K70" i="8"/>
  <c r="K69" i="8"/>
  <c r="K76" i="8" s="1"/>
  <c r="L80" i="8"/>
  <c r="L51" i="8"/>
  <c r="L67" i="8" s="1"/>
  <c r="R63" i="8"/>
  <c r="R66" i="8" s="1"/>
  <c r="R56" i="8"/>
  <c r="R55" i="8" s="1"/>
  <c r="R78" i="8"/>
  <c r="T57" i="8"/>
  <c r="T42" i="8"/>
  <c r="R73" i="8" l="1"/>
  <c r="N50" i="8"/>
  <c r="O48" i="8"/>
  <c r="S60" i="8"/>
  <c r="T44" i="8"/>
  <c r="S59" i="8"/>
  <c r="L75" i="8"/>
  <c r="L68" i="8"/>
  <c r="M80" i="8"/>
  <c r="M51" i="8"/>
  <c r="M67" i="8" s="1"/>
  <c r="U45" i="8"/>
  <c r="T54" i="8"/>
  <c r="K84" i="8"/>
  <c r="K85" i="8" s="1"/>
  <c r="K86" i="8"/>
  <c r="K82" i="8"/>
  <c r="K87" i="8" s="1"/>
  <c r="U57" i="8"/>
  <c r="U42" i="8"/>
  <c r="S78" i="8"/>
  <c r="S56" i="8"/>
  <c r="S55" i="8" s="1"/>
  <c r="S63" i="8" s="1"/>
  <c r="S66" i="8" s="1"/>
  <c r="Q73" i="8"/>
  <c r="U65" i="8"/>
  <c r="U62" i="8"/>
  <c r="J85" i="8"/>
  <c r="J88" i="8" s="1"/>
  <c r="S73" i="8" l="1"/>
  <c r="M75" i="8"/>
  <c r="M68" i="8"/>
  <c r="N80" i="8"/>
  <c r="N51" i="8"/>
  <c r="N67" i="8" s="1"/>
  <c r="V45" i="8"/>
  <c r="V54" i="8" s="1"/>
  <c r="U54" i="8"/>
  <c r="K88" i="8"/>
  <c r="U44" i="8"/>
  <c r="T60" i="8"/>
  <c r="O50" i="8"/>
  <c r="P48" i="8" s="1"/>
  <c r="V57" i="8"/>
  <c r="V42" i="8"/>
  <c r="U59" i="8"/>
  <c r="V62" i="8"/>
  <c r="V65" i="8"/>
  <c r="T59" i="8"/>
  <c r="T78" i="8"/>
  <c r="T56" i="8"/>
  <c r="L70" i="8"/>
  <c r="L69" i="8"/>
  <c r="L76" i="8" s="1"/>
  <c r="L81" i="8" s="1"/>
  <c r="P50" i="8" l="1"/>
  <c r="Q48" i="8"/>
  <c r="L84" i="8"/>
  <c r="L85" i="8" s="1"/>
  <c r="L88" i="8" s="1"/>
  <c r="L82" i="8"/>
  <c r="L87" i="8" s="1"/>
  <c r="L86" i="8"/>
  <c r="U60" i="8"/>
  <c r="V44" i="8"/>
  <c r="V60" i="8" s="1"/>
  <c r="V78" i="8"/>
  <c r="V56" i="8"/>
  <c r="N75" i="8"/>
  <c r="N68" i="8"/>
  <c r="O80" i="8"/>
  <c r="O51" i="8"/>
  <c r="O67" i="8" s="1"/>
  <c r="M69" i="8"/>
  <c r="M76" i="8" s="1"/>
  <c r="M81" i="8" s="1"/>
  <c r="M70" i="8"/>
  <c r="T55" i="8"/>
  <c r="T63" i="8" s="1"/>
  <c r="T66" i="8" s="1"/>
  <c r="U78" i="8"/>
  <c r="U63" i="8"/>
  <c r="U66" i="8" s="1"/>
  <c r="U56" i="8"/>
  <c r="U55" i="8" s="1"/>
  <c r="M84" i="8" l="1"/>
  <c r="M85" i="8" s="1"/>
  <c r="M88" i="8" s="1"/>
  <c r="M82" i="8"/>
  <c r="M87" i="8" s="1"/>
  <c r="M86" i="8"/>
  <c r="T73" i="8"/>
  <c r="U73" i="8"/>
  <c r="N70" i="8"/>
  <c r="N69" i="8"/>
  <c r="N76" i="8" s="1"/>
  <c r="N81" i="8" s="1"/>
  <c r="O75" i="8"/>
  <c r="O68" i="8"/>
  <c r="V59" i="8"/>
  <c r="V55" i="8" s="1"/>
  <c r="V63" i="8" s="1"/>
  <c r="V66" i="8" s="1"/>
  <c r="Q50" i="8"/>
  <c r="R48" i="8"/>
  <c r="P51" i="8"/>
  <c r="P67" i="8" s="1"/>
  <c r="P80" i="8"/>
  <c r="N84" i="8" l="1"/>
  <c r="N85" i="8" s="1"/>
  <c r="N88" i="8" s="1"/>
  <c r="N82" i="8"/>
  <c r="N87" i="8" s="1"/>
  <c r="N86" i="8"/>
  <c r="V73" i="8"/>
  <c r="R50" i="8"/>
  <c r="S48" i="8"/>
  <c r="Q80" i="8"/>
  <c r="Q51" i="8"/>
  <c r="Q67" i="8" s="1"/>
  <c r="O70" i="8"/>
  <c r="O69" i="8"/>
  <c r="O76" i="8" s="1"/>
  <c r="O81" i="8" s="1"/>
  <c r="P75" i="8"/>
  <c r="P68" i="8"/>
  <c r="O84" i="8" l="1"/>
  <c r="O85" i="8" s="1"/>
  <c r="O88" i="8" s="1"/>
  <c r="O86" i="8"/>
  <c r="O82" i="8"/>
  <c r="O87" i="8" s="1"/>
  <c r="P70" i="8"/>
  <c r="P69" i="8"/>
  <c r="P76" i="8" s="1"/>
  <c r="T48" i="8"/>
  <c r="S50" i="8"/>
  <c r="P81" i="8"/>
  <c r="R80" i="8"/>
  <c r="R51" i="8"/>
  <c r="R67" i="8" s="1"/>
  <c r="Q75" i="8"/>
  <c r="Q68" i="8"/>
  <c r="R75" i="8" l="1"/>
  <c r="R68" i="8"/>
  <c r="Q69" i="8"/>
  <c r="Q76" i="8" s="1"/>
  <c r="Q70" i="8"/>
  <c r="P84" i="8"/>
  <c r="P85" i="8" s="1"/>
  <c r="P88" i="8" s="1"/>
  <c r="P86" i="8"/>
  <c r="P82" i="8"/>
  <c r="P87" i="8" s="1"/>
  <c r="Q81" i="8"/>
  <c r="S80" i="8"/>
  <c r="S51" i="8"/>
  <c r="S67" i="8" s="1"/>
  <c r="T50" i="8"/>
  <c r="T80" i="8" l="1"/>
  <c r="T51" i="8"/>
  <c r="T67" i="8" s="1"/>
  <c r="R69" i="8"/>
  <c r="R76" i="8" s="1"/>
  <c r="R81" i="8" s="1"/>
  <c r="Q84" i="8"/>
  <c r="Q85" i="8" s="1"/>
  <c r="Q88" i="8" s="1"/>
  <c r="Q82" i="8"/>
  <c r="Q87" i="8" s="1"/>
  <c r="Q86" i="8"/>
  <c r="U48" i="8"/>
  <c r="S75" i="8"/>
  <c r="S68" i="8"/>
  <c r="R84" i="8" l="1"/>
  <c r="R85" i="8" s="1"/>
  <c r="R88" i="8" s="1"/>
  <c r="R82" i="8"/>
  <c r="R87" i="8" s="1"/>
  <c r="R86" i="8"/>
  <c r="R70" i="8"/>
  <c r="T75" i="8"/>
  <c r="T68" i="8"/>
  <c r="U50" i="8"/>
  <c r="V48" i="8"/>
  <c r="V50" i="8" s="1"/>
  <c r="S69" i="8"/>
  <c r="S76" i="8" s="1"/>
  <c r="S81" i="8" s="1"/>
  <c r="S84" i="8" l="1"/>
  <c r="S85" i="8" s="1"/>
  <c r="S88" i="8" s="1"/>
  <c r="S86" i="8"/>
  <c r="S82" i="8"/>
  <c r="S87" i="8" s="1"/>
  <c r="T70" i="8"/>
  <c r="T69" i="8"/>
  <c r="T76" i="8" s="1"/>
  <c r="V80" i="8"/>
  <c r="V51" i="8"/>
  <c r="V67" i="8" s="1"/>
  <c r="U80" i="8"/>
  <c r="U51" i="8"/>
  <c r="U67" i="8" s="1"/>
  <c r="S70" i="8"/>
  <c r="T81" i="8"/>
  <c r="T84" i="8" l="1"/>
  <c r="T85" i="8" s="1"/>
  <c r="T88" i="8" s="1"/>
  <c r="T86" i="8"/>
  <c r="T82" i="8"/>
  <c r="T87" i="8" s="1"/>
  <c r="V75" i="8"/>
  <c r="V68" i="8"/>
  <c r="U75" i="8"/>
  <c r="U68" i="8"/>
  <c r="U69" i="8" l="1"/>
  <c r="U76" i="8" s="1"/>
  <c r="U81" i="8" s="1"/>
  <c r="V69" i="8"/>
  <c r="U84" i="8" l="1"/>
  <c r="U85" i="8" s="1"/>
  <c r="U88" i="8" s="1"/>
  <c r="U86" i="8"/>
  <c r="U82" i="8"/>
  <c r="U87" i="8" s="1"/>
  <c r="U70" i="8"/>
  <c r="V76" i="8"/>
  <c r="V81" i="8" s="1"/>
  <c r="V70" i="8"/>
  <c r="V84" i="8" l="1"/>
  <c r="V82" i="8"/>
  <c r="V87" i="8" s="1"/>
  <c r="G23" i="8" s="1"/>
  <c r="V86" i="8"/>
  <c r="V85" i="8" l="1"/>
  <c r="V89" i="8"/>
  <c r="V88" i="8" l="1"/>
  <c r="G24" i="8" s="1"/>
  <c r="G25" i="8"/>
</calcChain>
</file>

<file path=xl/sharedStrings.xml><?xml version="1.0" encoding="utf-8"?>
<sst xmlns="http://schemas.openxmlformats.org/spreadsheetml/2006/main" count="2763" uniqueCount="716">
  <si>
    <t>Приложение  № _____</t>
  </si>
  <si>
    <t>к приказу Минэнерго России</t>
  </si>
  <si>
    <t>от 05.05.2016 г. №380</t>
  </si>
  <si>
    <t>Год раскрытия информации: 2023 год</t>
  </si>
  <si>
    <t>Паспорт инвестиционного проекта</t>
  </si>
  <si>
    <t>МКП «Ростгорсвет»</t>
  </si>
  <si>
    <t>(фирменное наименование субъекта электроэнергетики)</t>
  </si>
  <si>
    <t>L_0200001105</t>
  </si>
  <si>
    <t>(идентификатор инвестиционного проекта)</t>
  </si>
  <si>
    <t>Реконструкция ВЛ-0,4кВ от ТП-1105, ул. Мраморная,  (ДНТ «Березка») ул. Драгоценная  г. Ростов-на-Дону</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</si>
  <si>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</si>
  <si>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</si>
  <si>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</si>
  <si>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</si>
  <si>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</si>
  <si>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</si>
  <si>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</si>
  <si>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</si>
  <si>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 и оптимизация потерь электроэнергии в сетях для эффективного функционирования энергетических объектов</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</si>
  <si>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</si>
  <si>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</si>
  <si>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</si>
  <si>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</si>
  <si>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</si>
  <si>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</si>
  <si>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</si>
  <si>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</si>
  <si>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</si>
  <si>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</si>
  <si>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</si>
  <si>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</si>
  <si>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</si>
  <si>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</si>
  <si>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</si>
  <si>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</si>
  <si>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</si>
  <si>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</si>
  <si>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</si>
  <si>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</si>
  <si>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</si>
  <si>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</si>
  <si>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</si>
  <si>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</si>
  <si>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</si>
  <si>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</si>
  <si>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</si>
  <si>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</si>
  <si>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</si>
  <si>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</si>
  <si>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</si>
  <si>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</si>
  <si>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</si>
  <si>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</si>
  <si>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</si>
  <si>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</si>
  <si>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</si>
  <si>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</si>
  <si>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</si>
  <si>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</si>
  <si>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</si>
  <si>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</si>
  <si>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</si>
  <si>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</si>
  <si>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</si>
  <si>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</si>
  <si>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</si>
  <si>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</si>
  <si>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</si>
  <si>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</si>
  <si>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</si>
  <si>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</si>
  <si>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</si>
  <si>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</si>
  <si>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</si>
  <si>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</si>
  <si>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</si>
  <si>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</si>
  <si>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</si>
  <si>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</si>
  <si>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</si>
  <si>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</si>
  <si>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</si>
  <si>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</si>
  <si>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</si>
  <si>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</si>
  <si>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</si>
  <si>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</si>
  <si>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</si>
  <si>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</si>
  <si>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</si>
  <si>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</si>
  <si>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</si>
  <si>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</si>
  <si>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</si>
  <si>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</si>
  <si>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</si>
  <si>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</si>
  <si>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</si>
  <si>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</si>
  <si>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</si>
  <si>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</si>
  <si>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</si>
  <si>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Реконструкция линий электропередачи</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</si>
  <si>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</si>
  <si>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</si>
  <si>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</si>
  <si>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</si>
  <si>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</si>
  <si>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</si>
  <si>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</si>
  <si>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</si>
  <si>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Техническое состояние объекта, оптимизация потерь электроэнергии в сетях для эффективного функционирования энергетических объектов</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</si>
  <si>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</si>
  <si>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</si>
  <si>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</si>
  <si>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</si>
  <si>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</si>
  <si>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</si>
  <si>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</si>
  <si>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</si>
  <si>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</si>
  <si>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</si>
  <si>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</si>
  <si>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</si>
  <si>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</si>
  <si>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</si>
  <si>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</si>
  <si>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</si>
  <si>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</si>
  <si>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</si>
  <si>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</si>
  <si>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</si>
  <si>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ТП-1105</t>
  </si>
  <si>
    <t>I</t>
  </si>
  <si>
    <t>А-50</t>
  </si>
  <si>
    <t>СИП-2 3х70+1х54,6 СИП-4 2х16 СИП-4 4х16</t>
  </si>
  <si>
    <t>ВЛ</t>
  </si>
  <si>
    <t>Дерев., метал., железобетонная промежуточная</t>
  </si>
  <si>
    <t>железобетонная промежуточная</t>
  </si>
  <si>
    <t>Акт обследования сетей электроснабжения 0,4кВ от КТП-1105, расположенных на территории бывшего ДНТ «Березка», в Первомайском районе г.Ростова-на-Дону               13.11.2020г., МКП «Ростгорсвет»</t>
  </si>
  <si>
    <t>Необходимо провести реконструкцию ВЛ-0,4кВ</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</si>
  <si>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</si>
  <si>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</si>
  <si>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</si>
  <si>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</si>
  <si>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</si>
  <si>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</si>
  <si>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</si>
  <si>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</si>
  <si>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</si>
  <si>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</si>
  <si>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</si>
  <si>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</si>
  <si>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</si>
  <si>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</si>
  <si>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</si>
  <si>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</si>
  <si>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</si>
  <si>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</si>
  <si>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</si>
  <si>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</si>
  <si>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</si>
  <si>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</si>
  <si>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</si>
  <si>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</si>
  <si>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</si>
  <si>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</si>
  <si>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</si>
  <si>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</si>
  <si>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</si>
  <si>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</si>
  <si>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</si>
  <si>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</si>
  <si>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</si>
  <si>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</si>
  <si>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</si>
  <si>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</si>
  <si>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</si>
  <si>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</si>
  <si>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Постановление РСТ РО от 14.12.21 №67/2 об утверждении инвестиционной программы на 2022-2026г.г., постановления РСТ РО о внесении изменений от 28.10.22 №55/5, от 27.12.22 №75/1, от 08.11.23 №473</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</si>
  <si>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</si>
  <si>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</si>
  <si>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</si>
  <si>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</si>
  <si>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</si>
  <si>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</si>
  <si>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</si>
  <si>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</si>
  <si>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</si>
  <si>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</si>
  <si>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</si>
  <si>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</si>
  <si>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</si>
  <si>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</si>
  <si>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</si>
  <si>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</si>
  <si>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</si>
  <si>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</si>
  <si>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</si>
  <si>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</si>
  <si>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</si>
  <si>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</si>
  <si>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</si>
  <si>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</si>
  <si>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</si>
  <si>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</si>
  <si>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</si>
  <si>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</si>
  <si>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</si>
  <si>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</si>
  <si>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</si>
  <si>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</si>
  <si>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</si>
  <si>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</si>
  <si>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</si>
  <si>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</si>
  <si>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</si>
  <si>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</si>
  <si>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</si>
  <si>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</si>
  <si>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</si>
  <si>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</si>
  <si>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</si>
  <si>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</si>
  <si>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</si>
  <si>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</si>
  <si>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</si>
  <si>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</si>
  <si>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</si>
  <si>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</si>
  <si>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</si>
  <si>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</si>
  <si>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</si>
  <si>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</si>
  <si>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</si>
  <si>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</si>
  <si>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</si>
  <si>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</si>
  <si>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</si>
  <si>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</si>
  <si>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</si>
  <si>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</si>
  <si>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</si>
  <si>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</si>
  <si>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</si>
  <si>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</si>
  <si>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</si>
  <si>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</si>
  <si>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</si>
  <si>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</si>
  <si>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</si>
  <si>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</si>
  <si>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</si>
  <si>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</si>
  <si>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</si>
  <si>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</si>
  <si>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</si>
  <si>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</si>
  <si>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</si>
  <si>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</si>
  <si>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</si>
  <si>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</si>
  <si>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</si>
  <si>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</si>
  <si>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</si>
  <si>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</si>
  <si>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</si>
  <si>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</si>
  <si>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</si>
  <si>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</si>
  <si>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</si>
  <si>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</si>
  <si>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</si>
  <si>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</si>
  <si>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</si>
  <si>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</si>
  <si>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</si>
  <si>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</si>
  <si>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</si>
  <si>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</si>
  <si>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</si>
  <si>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</si>
  <si>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</si>
  <si>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</si>
  <si>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</si>
  <si>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</si>
  <si>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</si>
  <si>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</si>
  <si>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</si>
  <si>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</si>
  <si>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</si>
  <si>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</si>
  <si>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</si>
  <si>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</si>
  <si>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</si>
  <si>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</si>
  <si>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</si>
  <si>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</si>
  <si>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</si>
  <si>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</si>
  <si>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</si>
  <si>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</si>
  <si>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</si>
  <si>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</si>
  <si>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</si>
  <si>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</si>
  <si>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</si>
  <si>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</si>
  <si>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</si>
  <si>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</si>
  <si>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</si>
  <si>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</si>
  <si>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</si>
  <si>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</si>
  <si>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</si>
  <si>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</si>
  <si>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</si>
  <si>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</si>
  <si>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</si>
  <si>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</si>
  <si>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</si>
  <si>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01.01.23</t>
  </si>
  <si>
    <t>Год 2022</t>
  </si>
  <si>
    <t>Год 2023</t>
  </si>
  <si>
    <t>Год 2024</t>
  </si>
  <si>
    <t>Год 2025</t>
  </si>
  <si>
    <t>Год 2026</t>
  </si>
  <si>
    <t>Итого за период реализации инвестиционной программы</t>
  </si>
  <si>
    <t xml:space="preserve">Факт  </t>
  </si>
  <si>
    <t>Факт</t>
  </si>
  <si>
    <t xml:space="preserve">Предложение по корректировке плана </t>
  </si>
  <si>
    <t>по состоянию на 01.01.2023</t>
  </si>
  <si>
    <t>по состоянию на 01.01.2024</t>
  </si>
  <si>
    <t>Итого за год</t>
  </si>
  <si>
    <t>Квартал</t>
  </si>
  <si>
    <t>4 квартал</t>
  </si>
  <si>
    <t>3 квартал</t>
  </si>
  <si>
    <t>15.1</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</si>
  <si>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</si>
  <si>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</si>
  <si>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</si>
  <si>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</si>
  <si>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</si>
  <si>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</si>
  <si>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</si>
  <si>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</si>
  <si>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</si>
  <si>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</si>
  <si>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</si>
  <si>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</si>
  <si>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</si>
  <si>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</si>
  <si>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</si>
  <si>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</si>
  <si>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</si>
  <si>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 материалы</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</si>
  <si>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</si>
  <si>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</si>
  <si>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</si>
  <si>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</si>
  <si>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</si>
  <si>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</si>
  <si>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</si>
  <si>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</si>
  <si>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</si>
  <si>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</si>
  <si>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</si>
  <si>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</si>
  <si>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</si>
  <si>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</si>
  <si>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</si>
  <si>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</si>
  <si>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 шт.</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</si>
  <si>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</si>
  <si>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</si>
  <si>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</si>
  <si>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</si>
  <si>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</si>
  <si>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</si>
  <si>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</si>
  <si>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</si>
  <si>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</si>
  <si>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</si>
  <si>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</si>
  <si>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</si>
  <si>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</si>
  <si>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</si>
  <si>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</si>
  <si>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</si>
  <si>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</si>
  <si>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</si>
  <si>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</si>
  <si>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</si>
  <si>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</si>
  <si>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</si>
  <si>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</si>
  <si>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</si>
  <si>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</si>
  <si>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</si>
  <si>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</si>
  <si>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</si>
  <si>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</si>
  <si>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</si>
  <si>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</si>
  <si>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</si>
  <si>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</si>
  <si>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Субъект электроэнергетики</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</si>
  <si>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</si>
  <si>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</si>
  <si>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</si>
  <si>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 (классификация по ОКПД2)</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</si>
  <si>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</si>
  <si>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</si>
  <si>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</si>
  <si>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</si>
  <si>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 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</si>
  <si>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</si>
  <si>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</si>
  <si>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</si>
  <si>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</si>
  <si>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</si>
  <si>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</si>
  <si>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</si>
  <si>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</si>
  <si>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</si>
  <si>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</si>
  <si>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</si>
  <si>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</si>
  <si>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</si>
  <si>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</si>
  <si>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Договор</t>
  </si>
  <si>
    <t>Дата заключения договора (число, месяц, год)</t>
  </si>
  <si>
    <t>Планируемый срок исполнения договора по ГКПЗ</t>
  </si>
  <si>
    <t>Срок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</si>
  <si>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</si>
  <si>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</si>
  <si>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</si>
  <si>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</si>
  <si>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</si>
  <si>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</si>
  <si>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</si>
  <si>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 шт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</si>
  <si>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</si>
  <si>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</si>
  <si>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</si>
  <si>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</si>
  <si>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</si>
  <si>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</si>
  <si>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</si>
  <si>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</si>
  <si>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</si>
  <si>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</si>
  <si>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</si>
  <si>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</si>
  <si>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2023</t>
  </si>
  <si>
    <t>26.51.63.130 Счетчики производства или потребления электроэнергии</t>
  </si>
  <si>
    <t>Прибор учета электрической энергии МИР С-05.10-230-5(80)-RZ1F-KNQ-E-D (1-но фазный)</t>
  </si>
  <si>
    <t>обоснование начальной (максимальной) цены договора методом сопоставимых рыночных цен в соответствии с Положением о закупке товаров, работ, услуг</t>
  </si>
  <si>
    <t>Запрос оферт в электронной форме</t>
  </si>
  <si>
    <t>ООО "Система комплексного строительства" (ООО "СКС")</t>
  </si>
  <si>
    <t>32312576560</t>
  </si>
  <si>
    <t>http://etp.gpb.ru</t>
  </si>
  <si>
    <t>ЗОЭФ-60</t>
  </si>
  <si>
    <t>30 календарных дней</t>
  </si>
  <si>
    <t>50 рабочих дней (04.10.2023)</t>
  </si>
  <si>
    <t>Прибор учета электрической энергии МИР С-04.10-230-5(100)-RZ1B-KNQ-E-D (3-х фазный)</t>
  </si>
  <si>
    <t>Прибор учета электрической энергии МИР С-07.05S-230-5(10)-RP-S2T2Q-D (3-х фазный полу косвенного включения)</t>
  </si>
  <si>
    <t>Модем-Коммуникатор МИР МК-01.А-E/G/R/P/Z1-BG230-ЭТС24/SD Модем-Коммуникатор МИР МК-01.А-E/G/R/P/Z1-BG230-ЭТС24/SD</t>
  </si>
  <si>
    <t>27.32.14.110 Кабели силовые для стационарной прокладки на напряжение  более 1 кВ</t>
  </si>
  <si>
    <t>СИП 2 (3*70+1*54,6)</t>
  </si>
  <si>
    <t>Закупка у единственного поставщика</t>
  </si>
  <si>
    <t>ООО "Основной поставщик"</t>
  </si>
  <si>
    <t>www.zakupki.gov.ru</t>
  </si>
  <si>
    <t xml:space="preserve">статья 56. Условия проведения закупки у единственного поставщика (подрядчика, исполнителя) Положения о закупке товаров, работ, услуг </t>
  </si>
  <si>
    <t>директор</t>
  </si>
  <si>
    <t>ЕП-82</t>
  </si>
  <si>
    <t>27.11.43.000
Трансформаторы прочие мощностью более 16 кВА</t>
  </si>
  <si>
    <t>Трансформатор тока ТТИ-100 1000/5А</t>
  </si>
  <si>
    <t>ЕП-83</t>
  </si>
  <si>
    <t>Трансформатор тока Т-0,66 400/5</t>
  </si>
  <si>
    <t>27.12.40.000
Части электрической распределительной или регулирующей аппаратуры</t>
  </si>
  <si>
    <t>Коробка испытательная переходная (КИП, КИИ)</t>
  </si>
  <si>
    <t>27.33.13.120
Соединители электрические, зажимы контактные, наборы зажимов</t>
  </si>
  <si>
    <t>Штыревой втулочный изолированный наконечник НШВИ 16мм2*25</t>
  </si>
  <si>
    <t>Анкерный клиновый зажим РА-25S или аналог</t>
  </si>
  <si>
    <t>Соединительный зажим</t>
  </si>
  <si>
    <t>Бугель В20</t>
  </si>
  <si>
    <t>Анкерный кронштейн СА1500</t>
  </si>
  <si>
    <t>Анкерный клиновый зажим РА1500Р</t>
  </si>
  <si>
    <t>27.32.12.000
Кабели коаксиальные и прочие коаксиальные проводники электрического тока</t>
  </si>
  <si>
    <t>Провод СИП -4 2*16</t>
  </si>
  <si>
    <t>Провод СИП-4 4*16</t>
  </si>
  <si>
    <t>25.93.12.140
Ленты плетеные и аналогичные изделия из меди или алюминия без электрической изоляции</t>
  </si>
  <si>
    <t>Металлическая лента F20.7 (F20.7, 20*0.7*1000мм)</t>
  </si>
  <si>
    <t>29.32.30.211
Элементы подвески упругие</t>
  </si>
  <si>
    <t>Комплект промежуточной подвески ЕS54-14P</t>
  </si>
  <si>
    <t>23.61.12.162
Опоры ЛЭП, связи и элементы контактной сети электрифицированных дорог и осветительной сети</t>
  </si>
  <si>
    <t>Опора ж/б СВ 110-5</t>
  </si>
  <si>
    <t>ООО "Кондор-Электро"</t>
  </si>
  <si>
    <t xml:space="preserve">статья 56. Условия проведения закупки у единственного поставщика Положения о закупке товаров, работ, услуг </t>
  </si>
  <si>
    <t>ЕП-85</t>
  </si>
  <si>
    <t>27.32.14.111
Кабели силовые с медной жилой на напряжение более 1 кВ</t>
  </si>
  <si>
    <t>СИП 2 (3х70+1х54,6)</t>
  </si>
  <si>
    <t>ЕП-87</t>
  </si>
  <si>
    <t>ЕП-89</t>
  </si>
  <si>
    <t>Осветительный герметичный зажим СТ54Р</t>
  </si>
  <si>
    <t>Стяжные ремешки Е778</t>
  </si>
  <si>
    <t>25.92.13.000
Пробки и заглушки, колпачки и крышки корончатые из недрагоценных металлов</t>
  </si>
  <si>
    <t>Защитные колпачки СЕ25-150</t>
  </si>
  <si>
    <t>49.41.19.900 Услуги по перевозке грузов автомобильным транспортом прочие, не включенные в другие группировки</t>
  </si>
  <si>
    <t>предоставление специальной техники с экипажем</t>
  </si>
  <si>
    <t>ИП Костюков А.А.</t>
  </si>
  <si>
    <t>ЕП-100</t>
  </si>
  <si>
    <t>8*</t>
  </si>
  <si>
    <t>ИП Асланьян М.М.</t>
  </si>
  <si>
    <t>ЕП-98</t>
  </si>
  <si>
    <t>9*</t>
  </si>
  <si>
    <t>ЕП-96</t>
  </si>
  <si>
    <t>10*</t>
  </si>
  <si>
    <t>ЕП-78</t>
  </si>
  <si>
    <t>11*</t>
  </si>
  <si>
    <t>Прибор учета электрической энергии МИР С-05.10-230-5(80)-РZ1B-KNQ-E-D (1-но фазный)</t>
  </si>
  <si>
    <t>ЕП-99</t>
  </si>
  <si>
    <t>12*</t>
  </si>
  <si>
    <t>ЕП-53</t>
  </si>
  <si>
    <t>13*</t>
  </si>
  <si>
    <t>Электрокабельная продукция</t>
  </si>
  <si>
    <t>ООО "ВОЛЬТ-СЕРВИС"</t>
  </si>
  <si>
    <t>14*</t>
  </si>
  <si>
    <t>27.32.13.111
Кабели силовые с медной жилой на напряжение до 1 кВ</t>
  </si>
  <si>
    <t>Кабель ВВГнг (А)-LS 3х2,5 мк</t>
  </si>
  <si>
    <t>ООО "СТК"</t>
  </si>
  <si>
    <t>ЗОЭФ-7</t>
  </si>
  <si>
    <t>15*</t>
  </si>
  <si>
    <t>19.20.21.120
бензин АИ-95, 19.20.21.115
бензин АИ-92, 19.20.21.300
топливо дизельное</t>
  </si>
  <si>
    <t>ГСМ</t>
  </si>
  <si>
    <t>ООО "ИРБИС-М"</t>
  </si>
  <si>
    <t>ЗОЭФ-142</t>
  </si>
  <si>
    <t>16*</t>
  </si>
  <si>
    <t>19.20.32.119 Газы нефтяные прочие, не включенные в другие группировки</t>
  </si>
  <si>
    <t>Компримированный газ (метан)</t>
  </si>
  <si>
    <t>ООО "Газпром газомоторное топливо"</t>
  </si>
  <si>
    <t>ГМТ/ЮФ/Д-247.12.2022</t>
  </si>
  <si>
    <t>ВСЕГО</t>
  </si>
  <si>
    <t>* - договора на приобретение материалов с фактическим списанием по данным 1С бухгалтерии</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</si>
  <si>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</si>
  <si>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</si>
  <si>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</si>
  <si>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</si>
  <si>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Ростов-на-Дону</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</si>
  <si>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</si>
  <si>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</si>
  <si>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</si>
  <si>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</si>
  <si>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</si>
  <si>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2023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</si>
  <si>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</si>
  <si>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</si>
  <si>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</si>
  <si>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с НДС млн. руб.</t>
  </si>
  <si>
    <t>в том числе</t>
  </si>
  <si>
    <t>- по договорам подряда (в разбивке по каждому подрядчику и по договорам):</t>
  </si>
  <si>
    <t>12.1</t>
  </si>
  <si>
    <t>объем заключенных договоров в ценах 2023 года с НДС, млн. руб.</t>
  </si>
  <si>
    <t>12.2</t>
  </si>
  <si>
    <t>% от сметной стоимости проекта</t>
  </si>
  <si>
    <t>12.3</t>
  </si>
  <si>
    <t>оплачено по договорам, с НДС млн. руб.</t>
  </si>
  <si>
    <t>12.4</t>
  </si>
  <si>
    <t>освоено по договору, млн. руб.</t>
  </si>
  <si>
    <t>- по договорам поставки основного оборудования (в разбивке по каждому поставщику и по договорам):</t>
  </si>
  <si>
    <t>13.1</t>
  </si>
  <si>
    <t>приборы учета электрической энергии по договору от 26.07.2023г. №ЗОЭФ-60 ООО "СКС" приобретены на сумму на сумму с НДС, млн. руб.</t>
  </si>
  <si>
    <t>13.1.1</t>
  </si>
  <si>
    <t>13.1.2</t>
  </si>
  <si>
    <t>оплачено по договору, c НДС млн. руб.</t>
  </si>
  <si>
    <t>13.1.3</t>
  </si>
  <si>
    <t>освоено по договору, с НДС млн. руб.</t>
  </si>
  <si>
    <t>13.2</t>
  </si>
  <si>
    <t>приборы учета электрической энергии по договору от 25.09.2023г. №ЕП-96 ООО "СКС" приобретены на сумму с НДС, млн. руб.</t>
  </si>
  <si>
    <t>13.2.1</t>
  </si>
  <si>
    <t>13.2.2</t>
  </si>
  <si>
    <t>13.2.3</t>
  </si>
  <si>
    <t>13.3</t>
  </si>
  <si>
    <t>приборы учета электрической энергии по договору от 21.08.2023г. №ЕП-78 ООО "СКС" приобретены на сумму с НДС, млн. руб.</t>
  </si>
  <si>
    <t>13.3.1</t>
  </si>
  <si>
    <t>13.3.2</t>
  </si>
  <si>
    <t>13.3.3</t>
  </si>
  <si>
    <t>13.4</t>
  </si>
  <si>
    <t>приборы учета электрической энергии по договору от 04.10.2023г. №ЕП-99 ООО "СКС" приобретены на сумму с НДС, млн. руб.</t>
  </si>
  <si>
    <t>13.4.1</t>
  </si>
  <si>
    <t>13.4.2</t>
  </si>
  <si>
    <t>13.4.3</t>
  </si>
  <si>
    <t>13.5</t>
  </si>
  <si>
    <t>трансформаторы тока по договору от 25.08.2023г. №ЕП-83 ООО "Основной поставщик" приобретены на сумму с НДС, млн. руб.</t>
  </si>
  <si>
    <t>13.5.1</t>
  </si>
  <si>
    <t>13.5.2</t>
  </si>
  <si>
    <t>13.5.3</t>
  </si>
  <si>
    <t>- по прочим договорам (в разбивке по каждому контрагенту и по договорам)</t>
  </si>
  <si>
    <t>14.1</t>
  </si>
  <si>
    <t>провод СИП-2 3*70+1*54,6 по договору от 22.08.2023г. №ЕП-82 ООО "Основной поставщик" приобретен на сумму с НДС, млн. руб.</t>
  </si>
  <si>
    <t>14.1.1</t>
  </si>
  <si>
    <t>14.1.2</t>
  </si>
  <si>
    <t>14.1.3</t>
  </si>
  <si>
    <t>14.2</t>
  </si>
  <si>
    <t>электрокабельные материалы по договору от 25.08.2023г. №ЕП-83 ООО "Основной поставщик" приобретены на сумму с НДС, млн. руб.</t>
  </si>
  <si>
    <t>14.2.1</t>
  </si>
  <si>
    <t>14.2.2</t>
  </si>
  <si>
    <t>оплачено по договору, млн. руб.</t>
  </si>
  <si>
    <t>14.2.3</t>
  </si>
  <si>
    <t>14.3</t>
  </si>
  <si>
    <t>электрокабельные материалы по договору от 30.08.2023г. №ЕП-89 ООО "Основной поставщик" в ценах 2023г. приобретены на сумму с НДС, млн. руб.</t>
  </si>
  <si>
    <t>14.3.1</t>
  </si>
  <si>
    <t>14.3.2</t>
  </si>
  <si>
    <t>14.3.3</t>
  </si>
  <si>
    <t>14.4</t>
  </si>
  <si>
    <t>опоры ж/б СВ 110-5 по договору от 25.08.2023г. №ЕП-85 ООО "Кондор-Электро" приобретены на сумму с НДС, млн. руб.</t>
  </si>
  <si>
    <t>14.4.1</t>
  </si>
  <si>
    <t>14.4.2</t>
  </si>
  <si>
    <t>14.4.3</t>
  </si>
  <si>
    <t>14.5</t>
  </si>
  <si>
    <t>провод СИП-4 2*16 по договору от 28.06.2023г. №ЕП-53  ИП Ивашко И.В. приобретен на сумму с НДС, млн. руб.</t>
  </si>
  <si>
    <t>14.5.1</t>
  </si>
  <si>
    <t>14.5.2</t>
  </si>
  <si>
    <t>14.5.3</t>
  </si>
  <si>
    <t>14.6</t>
  </si>
  <si>
    <t>электрокабельные материалы по договору от 21.08.2023г. №1608 ООО "ВОЛЬТ-СЕРВИС" приобретены на сумму с НДС, млн. руб.</t>
  </si>
  <si>
    <t>14.6.1</t>
  </si>
  <si>
    <t>14.6.2</t>
  </si>
  <si>
    <t>14.6.3</t>
  </si>
  <si>
    <t>14.7</t>
  </si>
  <si>
    <t>кабель ВВГ-Пиг 3*2,5 по договору от 15.02.2023г. №ЗОЭФ-7 ООО "СТК" приобретены на сумму с НДС, млн. руб.</t>
  </si>
  <si>
    <t>14.7.1</t>
  </si>
  <si>
    <t>14.7.2</t>
  </si>
  <si>
    <t>14.7.3</t>
  </si>
  <si>
    <t>14.8</t>
  </si>
  <si>
    <t>ГСМ по договору от 27.12.2022г. №ЗОЭФ-142 ООО "ИРБИС-М" приобретены на сумму с НДС, млн. руб.</t>
  </si>
  <si>
    <t>14.8.1</t>
  </si>
  <si>
    <t>14.8.2</t>
  </si>
  <si>
    <t>14.8.3</t>
  </si>
  <si>
    <t>14.9</t>
  </si>
  <si>
    <t>компримированный газ (метан) по договору от 16.12.2022г. ООО "Газпром газомоторное топливо" приобретен на сумму с НДС, млн. руб.</t>
  </si>
  <si>
    <t>14.9.1</t>
  </si>
  <si>
    <t>14.9.2</t>
  </si>
  <si>
    <t>14.9.3</t>
  </si>
  <si>
    <t>14.10</t>
  </si>
  <si>
    <t xml:space="preserve">предоставление специальной техники с экипажем по договору от 04.10.2023г. №ЕП-100 ИП Костюков А.А. на сумму без НДС, млн.руб. </t>
  </si>
  <si>
    <t>14.10.1</t>
  </si>
  <si>
    <t>14.10.2</t>
  </si>
  <si>
    <t>14.10.3</t>
  </si>
  <si>
    <t>14.11</t>
  </si>
  <si>
    <t xml:space="preserve">предоставление специальной техники с экипажем по договору от 25.09.2023г. №ЕП-98 ИП Асланьян М.М. на сумму без НДС, млн.руб. </t>
  </si>
  <si>
    <t>14.11.1</t>
  </si>
  <si>
    <t>14.11.2</t>
  </si>
  <si>
    <t>14.11.3</t>
  </si>
  <si>
    <t>% законтрактованности объекта непосредственно с изготовителями и поставщиками</t>
  </si>
  <si>
    <t>- СМР, %</t>
  </si>
  <si>
    <t>15.2</t>
  </si>
  <si>
    <t>- поставка основного оборудования, %</t>
  </si>
  <si>
    <t>15.3</t>
  </si>
  <si>
    <t>- разработка проектной документации и рабочей документации, %</t>
  </si>
  <si>
    <t>16</t>
  </si>
  <si>
    <t>% оплаты по объекту (предоплата)</t>
  </si>
  <si>
    <t>17</t>
  </si>
  <si>
    <t>всего оплачено по объекту</t>
  </si>
  <si>
    <t>18</t>
  </si>
  <si>
    <t>%  освоения по объекту за отчетный период</t>
  </si>
  <si>
    <t>19</t>
  </si>
  <si>
    <t>всего освоено по объекту</t>
  </si>
  <si>
    <t>20</t>
  </si>
  <si>
    <t>Участники реализации инвестиционного проекта:</t>
  </si>
  <si>
    <t>20.1</t>
  </si>
  <si>
    <t>- заказчик-застройщик</t>
  </si>
  <si>
    <t>20.2</t>
  </si>
  <si>
    <t>- проектно-изыскательские организации</t>
  </si>
  <si>
    <t>20.3</t>
  </si>
  <si>
    <t>- технические агенты</t>
  </si>
  <si>
    <t>20.4</t>
  </si>
  <si>
    <t>- подрядчики</t>
  </si>
  <si>
    <t>20.5</t>
  </si>
  <si>
    <t>- поставщики основного оборудования</t>
  </si>
  <si>
    <t>ООО "СКС", ООО "Основной поставщик"</t>
  </si>
  <si>
    <t>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</si>
  <si>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</si>
  <si>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</si>
  <si>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22.1</t>
  </si>
  <si>
    <t>- электроментеры по ремонту воздушных линий электропередач</t>
  </si>
  <si>
    <t>22.2</t>
  </si>
  <si>
    <t>- машинисты автовышки</t>
  </si>
  <si>
    <t>22.3</t>
  </si>
  <si>
    <t>- землекоп</t>
  </si>
  <si>
    <t>23</t>
  </si>
  <si>
    <t>Основное оборудование</t>
  </si>
  <si>
    <t>24</t>
  </si>
  <si>
    <t>График поставки основного оборудования</t>
  </si>
  <si>
    <t>24.1</t>
  </si>
  <si>
    <t>- дата поставки</t>
  </si>
  <si>
    <t>24.2</t>
  </si>
  <si>
    <t>- задержки в поставке</t>
  </si>
  <si>
    <t>24.3</t>
  </si>
  <si>
    <t>- причины задержек</t>
  </si>
  <si>
    <t>25</t>
  </si>
  <si>
    <t>Фактическое состояние реализации инвестиционного проекта в срок</t>
  </si>
  <si>
    <t>26</t>
  </si>
  <si>
    <t>Факты и события, влияющие на ход реализации проекта, проблемные вопросы:</t>
  </si>
  <si>
    <t>26.1</t>
  </si>
  <si>
    <t>- выявленные нарушения договоров подряда,</t>
  </si>
  <si>
    <t>26.2</t>
  </si>
  <si>
    <t>- рекламации к заводам - изготовителям и поставщикам,</t>
  </si>
  <si>
    <t>26.3</t>
  </si>
  <si>
    <t>- предписания надзорных органов,</t>
  </si>
  <si>
    <t>26.4</t>
  </si>
  <si>
    <t>- дефицит источников финансирования и др.,</t>
  </si>
  <si>
    <t>26.5</t>
  </si>
  <si>
    <t>- другое (расшифровать)</t>
  </si>
  <si>
    <t>неблагоприятные погодные условия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</si>
</sst>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2" formatCode="d/m/yyyy"/>
    <numFmt numFmtId="173" formatCode="0.000&quot; МВА&quot;"/>
    <numFmt numFmtId="174" formatCode="#,##0.000"/>
  </numFmts>
  <fonts count="33" x14ac:knownFonts="1">
    <font>
      <sz val="10"/>
      <name val="Arial"/>
      <charset val="204"/>
    </font>
    <font>
      <sz val="10"/>
      <name val="Arial"/>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sz val="8"/>
      <name val="Arial"/>
      <family val="2"/>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b/>
      <sz val="10"/>
      <color rgb="FF000000"/>
      <name val="Times New Roman"/>
      <family val="1"/>
      <charset val="204"/>
    </font>
    <font>
      <sz val="10"/>
      <color rgb="FF000000"/>
      <name val="Times New Roman"/>
      <family val="1"/>
      <charset val="204"/>
    </font>
    <font>
      <sz val="11"/>
      <name val="Arial"/>
      <family val="2"/>
      <charset val="204"/>
    </font>
    <font>
      <u/>
      <sz val="10"/>
      <color rgb="FF0563C1"/>
      <name val="Arial"/>
      <family val="2"/>
      <charset val="204"/>
    </font>
    <font>
      <sz val="10"/>
      <name val="Arial"/>
      <family val="2"/>
      <charset val="204"/>
    </font>
    <font>
      <sz val="11"/>
      <color rgb="FF000000"/>
      <name val="Times New Roman"/>
      <family val="1"/>
      <charset val="204"/>
    </font>
  </fonts>
  <fills count="4">
    <fill>
      <patternFill patternType="none"/>
    </fill>
    <fill>
      <patternFill patternType="gray125"/>
    </fill>
    <fill>
      <patternFill patternType="solid">
        <fgColor rgb="FFFFFFFF"/>
        <bgColor rgb="FFF2F2F2"/>
      </patternFill>
    </fill>
    <fill>
      <patternFill patternType="solid">
        <fgColor rgb="FFF2F2F2"/>
        <bgColor rgb="FFFFFFFF"/>
      </patternFill>
    </fill>
  </fills>
  <borders count="3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s>
  <cellStyleXfs count="4">
    <xf numFmtId="0" fontId="0" fillId="0" borderId="0"/>
    <xf numFmtId="9" fontId="1" fillId="0" borderId="0" applyBorder="0" applyProtection="0"/>
    <xf numFmtId="0" fontId="30" fillId="0" borderId="0" applyBorder="0" applyProtection="0"/>
    <xf numFmtId="0" fontId="17" fillId="0" borderId="0"/>
  </cellStyleXfs>
  <cellXfs count="248">
    <xf numFmtId="0" fontId="0" fillId="0" borderId="0" xfId="0"/>
    <xf numFmtId="0" fontId="5" fillId="0" borderId="0" xfId="0" applyFont="1" applyBorder="1" applyAlignment="1" applyProtection="1">
      <alignment horizontal="center" vertical="center"/>
    </xf>
    <xf numFmtId="0" fontId="16" fillId="0" borderId="1" xfId="0" applyFont="1" applyBorder="1" applyAlignment="1" applyProtection="1">
      <alignment horizontal="center" vertical="center" wrapText="1"/>
    </xf>
    <xf numFmtId="0" fontId="5" fillId="0" borderId="0" xfId="0" applyFont="1" applyBorder="1" applyAlignment="1" applyProtection="1">
      <alignment horizontal="center"/>
    </xf>
    <xf numFmtId="0" fontId="9" fillId="0" borderId="0" xfId="0" applyFont="1" applyBorder="1" applyAlignment="1" applyProtection="1">
      <alignment horizontal="center"/>
    </xf>
    <xf numFmtId="0" fontId="4"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3" fillId="0" borderId="0" xfId="0" applyFont="1" applyBorder="1" applyAlignment="1" applyProtection="1">
      <alignment horizontal="right" wrapText="1"/>
    </xf>
    <xf numFmtId="0" fontId="3" fillId="0" borderId="1" xfId="0" applyFont="1" applyBorder="1" applyAlignment="1" applyProtection="1">
      <alignment horizontal="center" vertical="center" wrapText="1"/>
    </xf>
    <xf numFmtId="0" fontId="7"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6"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0" xfId="0" applyFont="1" applyAlignment="1" applyProtection="1">
      <alignment horizontal="center"/>
    </xf>
    <xf numFmtId="0" fontId="2" fillId="0" borderId="0" xfId="0" applyFont="1" applyAlignment="1" applyProtection="1">
      <alignment horizontal="left"/>
    </xf>
    <xf numFmtId="0" fontId="2" fillId="0" borderId="0" xfId="0" applyFont="1" applyAlignment="1" applyProtection="1">
      <alignment horizontal="left" wrapText="1"/>
    </xf>
    <xf numFmtId="0" fontId="0" fillId="0" borderId="0" xfId="0" applyAlignment="1" applyProtection="1"/>
    <xf numFmtId="0" fontId="3" fillId="0" borderId="0" xfId="0" applyFont="1" applyAlignment="1" applyProtection="1">
      <alignment horizontal="left" wrapText="1"/>
    </xf>
    <xf numFmtId="0" fontId="3" fillId="0" borderId="0" xfId="0" applyFont="1" applyAlignment="1" applyProtection="1">
      <alignment horizontal="right" wrapText="1"/>
    </xf>
    <xf numFmtId="0" fontId="3" fillId="0" borderId="1" xfId="0" applyFont="1" applyBorder="1" applyAlignment="1" applyProtection="1">
      <alignment horizontal="center" vertical="center" wrapText="1"/>
    </xf>
    <xf numFmtId="1" fontId="8" fillId="0" borderId="1" xfId="0" applyNumberFormat="1" applyFont="1" applyBorder="1" applyAlignment="1" applyProtection="1">
      <alignment horizontal="center" vertical="center" wrapText="1"/>
    </xf>
    <xf numFmtId="0" fontId="8" fillId="0" borderId="0" xfId="0" applyFont="1" applyAlignment="1" applyProtection="1">
      <alignment horizontal="left" wrapText="1"/>
    </xf>
    <xf numFmtId="1" fontId="3" fillId="0" borderId="1" xfId="0" applyNumberFormat="1" applyFont="1" applyBorder="1" applyAlignment="1" applyProtection="1">
      <alignment horizontal="center" vertical="center" wrapText="1"/>
    </xf>
    <xf numFmtId="0" fontId="3" fillId="0" borderId="1" xfId="0" applyFont="1" applyBorder="1" applyAlignment="1" applyProtection="1">
      <alignment horizontal="left" vertical="center" wrapText="1"/>
    </xf>
    <xf numFmtId="164" fontId="3" fillId="0" borderId="1" xfId="0" applyNumberFormat="1" applyFont="1" applyBorder="1" applyAlignment="1" applyProtection="1">
      <alignment horizontal="center" vertical="center" wrapText="1"/>
    </xf>
    <xf numFmtId="0" fontId="2" fillId="0" borderId="0" xfId="0" applyFont="1" applyAlignment="1" applyProtection="1">
      <alignment horizontal="center" wrapText="1"/>
    </xf>
    <xf numFmtId="0" fontId="4" fillId="0" borderId="1" xfId="0" applyFont="1" applyBorder="1" applyAlignment="1" applyProtection="1">
      <alignment horizontal="center" vertical="center" wrapText="1"/>
    </xf>
    <xf numFmtId="1" fontId="10" fillId="0" borderId="1" xfId="0" applyNumberFormat="1" applyFont="1" applyBorder="1" applyAlignment="1" applyProtection="1">
      <alignment horizontal="center" vertical="center" wrapText="1"/>
    </xf>
    <xf numFmtId="0" fontId="11" fillId="0" borderId="0" xfId="0" applyFont="1" applyAlignment="1" applyProtection="1"/>
    <xf numFmtId="0" fontId="12" fillId="0" borderId="1" xfId="0" applyFont="1" applyBorder="1" applyAlignment="1" applyProtection="1">
      <alignment horizontal="center" vertical="center" wrapText="1"/>
    </xf>
    <xf numFmtId="0" fontId="13" fillId="0" borderId="1" xfId="0" applyFont="1" applyBorder="1" applyAlignment="1" applyProtection="1">
      <alignment horizontal="right" wrapText="1"/>
    </xf>
    <xf numFmtId="0" fontId="3" fillId="0" borderId="0" xfId="0" applyFont="1" applyAlignment="1" applyProtection="1">
      <alignment horizontal="left"/>
    </xf>
    <xf numFmtId="0" fontId="14" fillId="0" borderId="0" xfId="0" applyFont="1" applyAlignment="1" applyProtection="1">
      <alignment horizontal="right"/>
    </xf>
    <xf numFmtId="0" fontId="15" fillId="0" borderId="0" xfId="0" applyFont="1" applyAlignment="1" applyProtection="1">
      <alignment horizontal="left"/>
    </xf>
    <xf numFmtId="1" fontId="8" fillId="0" borderId="1" xfId="0" applyNumberFormat="1" applyFont="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Alignment="1" applyProtection="1">
      <alignment vertical="center"/>
    </xf>
    <xf numFmtId="0" fontId="16" fillId="0" borderId="1" xfId="0" applyFont="1" applyBorder="1" applyAlignment="1" applyProtection="1">
      <alignment horizontal="center" vertical="center" wrapText="1"/>
    </xf>
    <xf numFmtId="164" fontId="3" fillId="0" borderId="1" xfId="0" applyNumberFormat="1" applyFont="1" applyBorder="1" applyAlignment="1" applyProtection="1">
      <alignment horizontal="center" vertical="center"/>
    </xf>
    <xf numFmtId="0" fontId="3" fillId="0" borderId="0" xfId="0" applyFont="1" applyAlignment="1" applyProtection="1">
      <alignment horizontal="right"/>
    </xf>
    <xf numFmtId="1" fontId="3" fillId="0" borderId="1" xfId="0" applyNumberFormat="1" applyFont="1" applyBorder="1" applyAlignment="1" applyProtection="1">
      <alignment horizontal="center" vertical="center"/>
    </xf>
    <xf numFmtId="0" fontId="3" fillId="0" borderId="1" xfId="0" applyFont="1" applyBorder="1" applyAlignment="1" applyProtection="1">
      <alignment horizontal="center" vertical="center"/>
    </xf>
    <xf numFmtId="1" fontId="4" fillId="0" borderId="1" xfId="0" applyNumberFormat="1" applyFont="1" applyBorder="1" applyAlignment="1" applyProtection="1">
      <alignment horizontal="center" vertical="center" wrapText="1"/>
    </xf>
    <xf numFmtId="1" fontId="8" fillId="0" borderId="3" xfId="0" applyNumberFormat="1" applyFont="1" applyBorder="1" applyAlignment="1" applyProtection="1">
      <alignment horizontal="center" vertical="center" wrapText="1"/>
    </xf>
    <xf numFmtId="0" fontId="17" fillId="2" borderId="0" xfId="0" applyFont="1" applyFill="1" applyAlignment="1" applyProtection="1">
      <alignment horizontal="left" wrapText="1"/>
    </xf>
    <xf numFmtId="0" fontId="17" fillId="0" borderId="0" xfId="3" applyFont="1" applyAlignment="1" applyProtection="1">
      <alignment vertical="center"/>
    </xf>
    <xf numFmtId="0" fontId="18" fillId="2" borderId="0" xfId="0" applyFont="1" applyFill="1" applyAlignment="1" applyProtection="1">
      <alignment horizontal="right" wrapText="1"/>
    </xf>
    <xf numFmtId="0" fontId="17" fillId="0" borderId="0" xfId="0" applyFont="1" applyAlignment="1" applyProtection="1">
      <alignment vertical="center"/>
    </xf>
    <xf numFmtId="0" fontId="17" fillId="2" borderId="0" xfId="0" applyFont="1" applyFill="1" applyAlignment="1" applyProtection="1">
      <alignment horizontal="left"/>
    </xf>
    <xf numFmtId="0" fontId="22" fillId="2" borderId="0" xfId="0" applyFont="1" applyFill="1" applyAlignment="1" applyProtection="1">
      <alignment horizontal="center" vertical="center"/>
    </xf>
    <xf numFmtId="0" fontId="17" fillId="2" borderId="0" xfId="0" applyFont="1" applyFill="1" applyAlignment="1" applyProtection="1">
      <alignment vertical="center"/>
    </xf>
    <xf numFmtId="0" fontId="23" fillId="2" borderId="0" xfId="0" applyFont="1" applyFill="1" applyAlignment="1" applyProtection="1">
      <alignment horizontal="left" vertical="center"/>
    </xf>
    <xf numFmtId="0" fontId="24" fillId="2" borderId="0" xfId="0" applyFont="1" applyFill="1" applyAlignment="1" applyProtection="1">
      <alignment vertical="center"/>
    </xf>
    <xf numFmtId="0" fontId="17" fillId="2" borderId="4" xfId="0" applyFont="1" applyFill="1" applyBorder="1" applyAlignment="1" applyProtection="1">
      <alignment vertical="center"/>
    </xf>
    <xf numFmtId="3" fontId="25" fillId="2" borderId="5" xfId="0" applyNumberFormat="1" applyFont="1" applyFill="1" applyBorder="1" applyAlignment="1" applyProtection="1">
      <alignment vertical="center"/>
    </xf>
    <xf numFmtId="0" fontId="17" fillId="2" borderId="6" xfId="0" applyFont="1" applyFill="1" applyBorder="1" applyAlignment="1" applyProtection="1">
      <alignment vertical="center"/>
    </xf>
    <xf numFmtId="165" fontId="25" fillId="2" borderId="7" xfId="0" applyNumberFormat="1" applyFont="1" applyFill="1" applyBorder="1" applyAlignment="1" applyProtection="1">
      <alignment vertical="center"/>
    </xf>
    <xf numFmtId="0" fontId="17" fillId="2" borderId="0" xfId="0" applyFont="1" applyFill="1" applyAlignment="1" applyProtection="1">
      <alignment horizontal="right" vertical="center"/>
    </xf>
    <xf numFmtId="0" fontId="17" fillId="2" borderId="8" xfId="0" applyFont="1" applyFill="1" applyBorder="1" applyAlignment="1" applyProtection="1">
      <alignment vertical="center"/>
    </xf>
    <xf numFmtId="165" fontId="25" fillId="2" borderId="9" xfId="0" applyNumberFormat="1" applyFont="1" applyFill="1" applyBorder="1" applyAlignment="1" applyProtection="1">
      <alignment vertical="center"/>
    </xf>
    <xf numFmtId="166" fontId="24" fillId="2" borderId="1" xfId="0" applyNumberFormat="1" applyFont="1" applyFill="1" applyBorder="1" applyAlignment="1" applyProtection="1">
      <alignment horizontal="center" vertical="center"/>
    </xf>
    <xf numFmtId="0" fontId="17" fillId="2" borderId="0" xfId="0" applyFont="1" applyFill="1" applyBorder="1" applyAlignment="1" applyProtection="1">
      <alignment vertical="center"/>
    </xf>
    <xf numFmtId="165" fontId="25" fillId="2" borderId="5" xfId="0" applyNumberFormat="1" applyFont="1" applyFill="1" applyBorder="1" applyAlignment="1" applyProtection="1">
      <alignment vertical="center"/>
    </xf>
    <xf numFmtId="0" fontId="25" fillId="2" borderId="6" xfId="0" applyFont="1" applyFill="1" applyBorder="1" applyAlignment="1" applyProtection="1">
      <alignment vertical="center" wrapText="1"/>
    </xf>
    <xf numFmtId="0" fontId="17" fillId="2" borderId="10" xfId="0" applyFont="1" applyFill="1" applyBorder="1" applyAlignment="1" applyProtection="1">
      <alignment vertical="center"/>
    </xf>
    <xf numFmtId="10" fontId="25" fillId="2" borderId="11" xfId="0" applyNumberFormat="1" applyFont="1" applyFill="1" applyBorder="1" applyAlignment="1" applyProtection="1">
      <alignment vertical="center"/>
    </xf>
    <xf numFmtId="10" fontId="25" fillId="2" borderId="9" xfId="0" applyNumberFormat="1" applyFont="1" applyFill="1" applyBorder="1" applyAlignment="1" applyProtection="1">
      <alignment vertical="center"/>
    </xf>
    <xf numFmtId="9" fontId="25" fillId="2" borderId="12" xfId="0" applyNumberFormat="1" applyFont="1" applyFill="1" applyBorder="1" applyAlignment="1" applyProtection="1">
      <alignment vertical="center"/>
    </xf>
    <xf numFmtId="0" fontId="17" fillId="2" borderId="13" xfId="0" applyFont="1" applyFill="1" applyBorder="1" applyAlignment="1" applyProtection="1">
      <alignment vertical="center"/>
    </xf>
    <xf numFmtId="165" fontId="25" fillId="2" borderId="4" xfId="0" applyNumberFormat="1" applyFont="1" applyFill="1" applyBorder="1" applyAlignment="1" applyProtection="1">
      <alignment vertical="center"/>
    </xf>
    <xf numFmtId="0" fontId="17" fillId="2" borderId="14" xfId="0" applyFont="1" applyFill="1" applyBorder="1" applyAlignment="1" applyProtection="1">
      <alignment vertical="center"/>
    </xf>
    <xf numFmtId="10" fontId="25" fillId="2" borderId="15" xfId="0" applyNumberFormat="1" applyFont="1" applyFill="1" applyBorder="1" applyAlignment="1" applyProtection="1">
      <alignment vertical="center"/>
    </xf>
    <xf numFmtId="10" fontId="25" fillId="2" borderId="6" xfId="0" applyNumberFormat="1" applyFont="1" applyFill="1" applyBorder="1" applyAlignment="1" applyProtection="1">
      <alignment vertical="center"/>
    </xf>
    <xf numFmtId="0" fontId="17" fillId="2" borderId="16" xfId="0" applyFont="1" applyFill="1" applyBorder="1" applyAlignment="1" applyProtection="1">
      <alignment vertical="center"/>
    </xf>
    <xf numFmtId="10" fontId="25" fillId="2" borderId="10" xfId="0" applyNumberFormat="1" applyFont="1" applyFill="1" applyBorder="1" applyAlignment="1" applyProtection="1">
      <alignment vertical="center"/>
    </xf>
    <xf numFmtId="164" fontId="17" fillId="2" borderId="0" xfId="0" applyNumberFormat="1" applyFont="1" applyFill="1" applyAlignment="1" applyProtection="1">
      <alignment vertical="center"/>
    </xf>
    <xf numFmtId="0" fontId="17" fillId="2" borderId="17" xfId="0" applyFont="1" applyFill="1" applyBorder="1" applyAlignment="1" applyProtection="1">
      <alignment horizontal="left" vertical="center"/>
    </xf>
    <xf numFmtId="1" fontId="17" fillId="2" borderId="18" xfId="0" applyNumberFormat="1" applyFont="1" applyFill="1" applyBorder="1" applyAlignment="1" applyProtection="1">
      <alignment horizontal="center" vertical="center"/>
    </xf>
    <xf numFmtId="1" fontId="17" fillId="2" borderId="19" xfId="0" applyNumberFormat="1" applyFont="1" applyFill="1" applyBorder="1" applyAlignment="1" applyProtection="1">
      <alignment horizontal="center" vertical="center" wrapText="1"/>
    </xf>
    <xf numFmtId="1" fontId="17" fillId="2" borderId="18" xfId="0" applyNumberFormat="1" applyFont="1" applyFill="1" applyBorder="1" applyAlignment="1" applyProtection="1">
      <alignment horizontal="center" vertical="center" wrapText="1"/>
    </xf>
    <xf numFmtId="1" fontId="17" fillId="2" borderId="20" xfId="0" applyNumberFormat="1" applyFont="1" applyFill="1" applyBorder="1" applyAlignment="1" applyProtection="1">
      <alignment horizontal="center" vertical="center" wrapText="1"/>
    </xf>
    <xf numFmtId="1" fontId="17" fillId="2" borderId="5" xfId="0" applyNumberFormat="1" applyFont="1" applyFill="1" applyBorder="1" applyAlignment="1" applyProtection="1">
      <alignment horizontal="center" vertical="center" wrapText="1"/>
    </xf>
    <xf numFmtId="0" fontId="17" fillId="2" borderId="21" xfId="0" applyFont="1" applyFill="1" applyBorder="1" applyAlignment="1" applyProtection="1">
      <alignment vertical="center"/>
    </xf>
    <xf numFmtId="10" fontId="25" fillId="2" borderId="1" xfId="0" applyNumberFormat="1" applyFont="1" applyFill="1" applyBorder="1" applyAlignment="1" applyProtection="1">
      <alignment vertical="center"/>
    </xf>
    <xf numFmtId="10" fontId="25" fillId="2" borderId="22" xfId="0" applyNumberFormat="1" applyFont="1" applyFill="1" applyBorder="1" applyAlignment="1" applyProtection="1">
      <alignment vertical="center"/>
    </xf>
    <xf numFmtId="0" fontId="17" fillId="2" borderId="23" xfId="0" applyFont="1" applyFill="1" applyBorder="1" applyAlignment="1" applyProtection="1">
      <alignment vertical="center"/>
    </xf>
    <xf numFmtId="10" fontId="25" fillId="2" borderId="24" xfId="0" applyNumberFormat="1" applyFont="1" applyFill="1" applyBorder="1" applyAlignment="1" applyProtection="1">
      <alignment vertical="center"/>
    </xf>
    <xf numFmtId="10" fontId="25" fillId="2" borderId="25" xfId="0" applyNumberFormat="1" applyFont="1" applyFill="1" applyBorder="1" applyAlignment="1" applyProtection="1">
      <alignment vertical="center"/>
    </xf>
    <xf numFmtId="10" fontId="25" fillId="2" borderId="26" xfId="0" applyNumberFormat="1" applyFont="1" applyFill="1" applyBorder="1" applyAlignment="1" applyProtection="1">
      <alignment vertical="center"/>
    </xf>
    <xf numFmtId="165" fontId="25" fillId="2" borderId="24" xfId="0" applyNumberFormat="1" applyFont="1" applyFill="1" applyBorder="1" applyAlignment="1" applyProtection="1">
      <alignment vertical="center"/>
    </xf>
    <xf numFmtId="0" fontId="16" fillId="0" borderId="0" xfId="0" applyFont="1" applyAlignment="1" applyProtection="1">
      <alignment vertical="center"/>
    </xf>
    <xf numFmtId="0" fontId="26" fillId="2" borderId="27" xfId="0" applyFont="1" applyFill="1" applyBorder="1" applyAlignment="1" applyProtection="1">
      <alignment vertical="center"/>
    </xf>
    <xf numFmtId="0" fontId="17" fillId="2" borderId="28" xfId="0" applyFont="1" applyFill="1" applyBorder="1" applyAlignment="1" applyProtection="1">
      <alignment vertical="center"/>
    </xf>
    <xf numFmtId="0" fontId="17" fillId="2" borderId="29" xfId="0" applyFont="1" applyFill="1" applyBorder="1" applyAlignment="1" applyProtection="1">
      <alignment vertical="center"/>
    </xf>
    <xf numFmtId="0" fontId="22" fillId="2" borderId="17" xfId="0" applyFont="1" applyFill="1" applyBorder="1" applyAlignment="1" applyProtection="1">
      <alignment vertical="center"/>
    </xf>
    <xf numFmtId="165" fontId="25" fillId="2" borderId="1" xfId="0" applyNumberFormat="1" applyFont="1" applyFill="1" applyBorder="1" applyAlignment="1" applyProtection="1">
      <alignment vertical="center"/>
    </xf>
    <xf numFmtId="165" fontId="25" fillId="2" borderId="30" xfId="0" applyNumberFormat="1" applyFont="1" applyFill="1" applyBorder="1" applyAlignment="1" applyProtection="1">
      <alignment vertical="center"/>
    </xf>
    <xf numFmtId="165" fontId="25" fillId="2" borderId="26" xfId="0" applyNumberFormat="1" applyFont="1" applyFill="1" applyBorder="1" applyAlignment="1" applyProtection="1">
      <alignment vertical="center"/>
    </xf>
    <xf numFmtId="0" fontId="17" fillId="2" borderId="27" xfId="0" applyFont="1" applyFill="1" applyBorder="1" applyAlignment="1" applyProtection="1">
      <alignment vertical="center"/>
    </xf>
    <xf numFmtId="165" fontId="17" fillId="2" borderId="28" xfId="0" applyNumberFormat="1" applyFont="1" applyFill="1" applyBorder="1" applyAlignment="1" applyProtection="1">
      <alignment vertical="center"/>
    </xf>
    <xf numFmtId="167" fontId="17" fillId="2" borderId="28" xfId="0" applyNumberFormat="1" applyFont="1" applyFill="1" applyBorder="1" applyAlignment="1" applyProtection="1">
      <alignment vertical="center"/>
    </xf>
    <xf numFmtId="167" fontId="17" fillId="2" borderId="31" xfId="0" applyNumberFormat="1" applyFont="1" applyFill="1" applyBorder="1" applyAlignment="1" applyProtection="1">
      <alignment vertical="center"/>
    </xf>
    <xf numFmtId="167" fontId="17" fillId="2" borderId="29" xfId="0" applyNumberFormat="1" applyFont="1" applyFill="1" applyBorder="1" applyAlignment="1" applyProtection="1">
      <alignment vertical="center"/>
    </xf>
    <xf numFmtId="0" fontId="17" fillId="0" borderId="0" xfId="0" applyFont="1" applyBorder="1" applyAlignment="1" applyProtection="1">
      <alignment vertical="center"/>
    </xf>
    <xf numFmtId="0" fontId="22" fillId="2" borderId="21" xfId="0" applyFont="1" applyFill="1" applyBorder="1" applyAlignment="1" applyProtection="1">
      <alignment vertical="center"/>
    </xf>
    <xf numFmtId="168" fontId="22" fillId="2" borderId="1" xfId="0" applyNumberFormat="1" applyFont="1" applyFill="1" applyBorder="1" applyAlignment="1" applyProtection="1">
      <alignment vertical="center"/>
    </xf>
    <xf numFmtId="168" fontId="22" fillId="2" borderId="30" xfId="0" applyNumberFormat="1" applyFont="1" applyFill="1" applyBorder="1" applyAlignment="1" applyProtection="1">
      <alignment vertical="center"/>
    </xf>
    <xf numFmtId="168" fontId="25" fillId="2" borderId="1" xfId="0" applyNumberFormat="1" applyFont="1" applyFill="1" applyBorder="1" applyAlignment="1" applyProtection="1">
      <alignment vertical="center"/>
    </xf>
    <xf numFmtId="168" fontId="25" fillId="2" borderId="30" xfId="0" applyNumberFormat="1" applyFont="1" applyFill="1" applyBorder="1" applyAlignment="1" applyProtection="1">
      <alignment vertical="center"/>
    </xf>
    <xf numFmtId="168" fontId="25" fillId="2" borderId="7" xfId="0" applyNumberFormat="1" applyFont="1" applyFill="1" applyBorder="1" applyAlignment="1" applyProtection="1">
      <alignment vertical="center"/>
    </xf>
    <xf numFmtId="0" fontId="17" fillId="2" borderId="21" xfId="0" applyFont="1" applyFill="1" applyBorder="1" applyAlignment="1" applyProtection="1">
      <alignment horizontal="left" vertical="center"/>
    </xf>
    <xf numFmtId="169" fontId="17" fillId="2" borderId="1" xfId="0" applyNumberFormat="1" applyFont="1" applyFill="1" applyBorder="1" applyAlignment="1" applyProtection="1">
      <alignment vertical="center"/>
    </xf>
    <xf numFmtId="0" fontId="22" fillId="2" borderId="21" xfId="0" applyFont="1" applyFill="1" applyBorder="1" applyAlignment="1" applyProtection="1">
      <alignment horizontal="left" vertical="center" wrapText="1"/>
    </xf>
    <xf numFmtId="168" fontId="22" fillId="2" borderId="7" xfId="0" applyNumberFormat="1" applyFont="1" applyFill="1" applyBorder="1" applyAlignment="1" applyProtection="1">
      <alignment vertical="center"/>
    </xf>
    <xf numFmtId="0" fontId="22" fillId="2" borderId="21" xfId="0" applyFont="1" applyFill="1" applyBorder="1" applyAlignment="1" applyProtection="1">
      <alignment horizontal="left" vertical="center"/>
    </xf>
    <xf numFmtId="0" fontId="22" fillId="2" borderId="23" xfId="0" applyFont="1" applyFill="1" applyBorder="1" applyAlignment="1" applyProtection="1">
      <alignment horizontal="left" vertical="center"/>
    </xf>
    <xf numFmtId="168" fontId="22" fillId="2" borderId="24" xfId="0" applyNumberFormat="1" applyFont="1" applyFill="1" applyBorder="1" applyAlignment="1" applyProtection="1">
      <alignment vertical="center"/>
    </xf>
    <xf numFmtId="168" fontId="22" fillId="2" borderId="26" xfId="0" applyNumberFormat="1" applyFont="1" applyFill="1" applyBorder="1" applyAlignment="1" applyProtection="1">
      <alignment vertical="center"/>
    </xf>
    <xf numFmtId="168" fontId="22" fillId="2" borderId="9" xfId="0" applyNumberFormat="1" applyFont="1" applyFill="1" applyBorder="1" applyAlignment="1" applyProtection="1">
      <alignment vertical="center"/>
    </xf>
    <xf numFmtId="167" fontId="25" fillId="2" borderId="28" xfId="0" applyNumberFormat="1" applyFont="1" applyFill="1" applyBorder="1" applyAlignment="1" applyProtection="1">
      <alignment horizontal="center" vertical="center"/>
    </xf>
    <xf numFmtId="167" fontId="25" fillId="2" borderId="31" xfId="0" applyNumberFormat="1" applyFont="1" applyFill="1" applyBorder="1" applyAlignment="1" applyProtection="1">
      <alignment horizontal="center" vertical="center"/>
    </xf>
    <xf numFmtId="167" fontId="25" fillId="2" borderId="29" xfId="0" applyNumberFormat="1" applyFont="1" applyFill="1" applyBorder="1" applyAlignment="1" applyProtection="1">
      <alignment horizontal="center" vertical="center"/>
    </xf>
    <xf numFmtId="0" fontId="22" fillId="2" borderId="21" xfId="0" applyFont="1" applyFill="1" applyBorder="1" applyAlignment="1" applyProtection="1">
      <alignment vertical="center" wrapText="1"/>
    </xf>
    <xf numFmtId="170" fontId="25" fillId="2" borderId="1" xfId="0" applyNumberFormat="1" applyFont="1" applyFill="1" applyBorder="1" applyAlignment="1" applyProtection="1">
      <alignment horizontal="center" vertical="center"/>
    </xf>
    <xf numFmtId="170" fontId="25" fillId="2" borderId="30" xfId="0" applyNumberFormat="1" applyFont="1" applyFill="1" applyBorder="1" applyAlignment="1" applyProtection="1">
      <alignment horizontal="center" vertical="center"/>
    </xf>
    <xf numFmtId="170" fontId="25" fillId="2" borderId="7" xfId="0" applyNumberFormat="1" applyFont="1" applyFill="1" applyBorder="1" applyAlignment="1" applyProtection="1">
      <alignment horizontal="center" vertical="center"/>
    </xf>
    <xf numFmtId="171" fontId="22" fillId="2" borderId="1" xfId="0" applyNumberFormat="1" applyFont="1" applyFill="1" applyBorder="1" applyAlignment="1" applyProtection="1">
      <alignment vertical="center"/>
    </xf>
    <xf numFmtId="171" fontId="22" fillId="2" borderId="30" xfId="0" applyNumberFormat="1" applyFont="1" applyFill="1" applyBorder="1" applyAlignment="1" applyProtection="1">
      <alignment vertical="center"/>
    </xf>
    <xf numFmtId="171" fontId="22" fillId="2" borderId="7" xfId="0" applyNumberFormat="1" applyFont="1" applyFill="1" applyBorder="1" applyAlignment="1" applyProtection="1">
      <alignment vertical="center"/>
    </xf>
    <xf numFmtId="169" fontId="22" fillId="2" borderId="1" xfId="0" applyNumberFormat="1" applyFont="1" applyFill="1" applyBorder="1" applyAlignment="1" applyProtection="1">
      <alignment vertical="center"/>
    </xf>
    <xf numFmtId="169" fontId="22" fillId="2" borderId="30" xfId="0" applyNumberFormat="1" applyFont="1" applyFill="1" applyBorder="1" applyAlignment="1" applyProtection="1">
      <alignment vertical="center"/>
    </xf>
    <xf numFmtId="169" fontId="22" fillId="2" borderId="7" xfId="0" applyNumberFormat="1" applyFont="1" applyFill="1" applyBorder="1" applyAlignment="1" applyProtection="1">
      <alignment vertical="center"/>
    </xf>
    <xf numFmtId="0" fontId="22" fillId="2" borderId="32" xfId="0" applyFont="1" applyFill="1" applyBorder="1" applyAlignment="1" applyProtection="1">
      <alignment vertical="center"/>
    </xf>
    <xf numFmtId="169" fontId="22" fillId="2" borderId="33" xfId="0" applyNumberFormat="1" applyFont="1" applyFill="1" applyBorder="1" applyAlignment="1" applyProtection="1">
      <alignment vertical="center"/>
    </xf>
    <xf numFmtId="169" fontId="22" fillId="2" borderId="34" xfId="0" applyNumberFormat="1" applyFont="1" applyFill="1" applyBorder="1" applyAlignment="1" applyProtection="1">
      <alignment vertical="center"/>
    </xf>
    <xf numFmtId="169" fontId="22" fillId="2" borderId="35" xfId="0" applyNumberFormat="1" applyFont="1" applyFill="1" applyBorder="1" applyAlignment="1" applyProtection="1">
      <alignment vertical="center"/>
    </xf>
    <xf numFmtId="0" fontId="17" fillId="2" borderId="0" xfId="3" applyFont="1" applyFill="1" applyAlignment="1" applyProtection="1">
      <alignment vertical="center"/>
    </xf>
    <xf numFmtId="0" fontId="4" fillId="0" borderId="3" xfId="0" applyFont="1" applyBorder="1" applyAlignment="1" applyProtection="1">
      <alignment horizontal="center" vertical="center" wrapText="1"/>
    </xf>
    <xf numFmtId="1" fontId="10" fillId="0" borderId="3" xfId="0" applyNumberFormat="1" applyFont="1" applyBorder="1" applyAlignment="1" applyProtection="1">
      <alignment horizontal="center" vertical="center" wrapText="1"/>
    </xf>
    <xf numFmtId="0" fontId="0" fillId="0" borderId="0" xfId="0" applyAlignment="1" applyProtection="1">
      <alignment horizontal="left" vertical="center"/>
    </xf>
    <xf numFmtId="172" fontId="3" fillId="0" borderId="1" xfId="0" applyNumberFormat="1" applyFont="1" applyBorder="1" applyAlignment="1" applyProtection="1">
      <alignment horizontal="center" vertical="center" wrapText="1"/>
    </xf>
    <xf numFmtId="172" fontId="17" fillId="0" borderId="1" xfId="0" applyNumberFormat="1" applyFont="1" applyBorder="1" applyAlignment="1" applyProtection="1">
      <alignment horizontal="center" vertical="center" wrapText="1"/>
    </xf>
    <xf numFmtId="0" fontId="4" fillId="0" borderId="1" xfId="0" applyFont="1" applyBorder="1" applyAlignment="1" applyProtection="1">
      <alignment horizontal="center" vertical="center" textRotation="90" wrapText="1"/>
    </xf>
    <xf numFmtId="49" fontId="10" fillId="0" borderId="1" xfId="0" applyNumberFormat="1" applyFont="1" applyBorder="1" applyAlignment="1" applyProtection="1">
      <alignment horizontal="center" vertical="center" wrapText="1"/>
    </xf>
    <xf numFmtId="164" fontId="4" fillId="0" borderId="1" xfId="0" applyNumberFormat="1" applyFont="1" applyBorder="1" applyAlignment="1" applyProtection="1">
      <alignment horizontal="center" vertical="center"/>
    </xf>
    <xf numFmtId="164" fontId="4" fillId="2" borderId="1"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left" vertical="center" wrapText="1"/>
    </xf>
    <xf numFmtId="164" fontId="3" fillId="2" borderId="1" xfId="0" applyNumberFormat="1" applyFont="1" applyFill="1" applyBorder="1" applyAlignment="1" applyProtection="1">
      <alignment horizontal="center" vertical="center"/>
    </xf>
    <xf numFmtId="164" fontId="17" fillId="0" borderId="1" xfId="0" applyNumberFormat="1" applyFont="1" applyBorder="1" applyAlignment="1" applyProtection="1">
      <alignment horizontal="center" vertical="center"/>
    </xf>
    <xf numFmtId="2" fontId="3" fillId="2" borderId="1" xfId="0" applyNumberFormat="1" applyFont="1" applyFill="1" applyBorder="1" applyAlignment="1" applyProtection="1">
      <alignment horizontal="center" vertical="center"/>
    </xf>
    <xf numFmtId="2" fontId="3" fillId="0" borderId="1" xfId="0" applyNumberFormat="1" applyFont="1" applyBorder="1" applyAlignment="1" applyProtection="1">
      <alignment horizontal="center" vertical="center"/>
    </xf>
    <xf numFmtId="1" fontId="3" fillId="2" borderId="1" xfId="0" applyNumberFormat="1" applyFont="1" applyFill="1" applyBorder="1" applyAlignment="1" applyProtection="1">
      <alignment horizontal="center" vertical="center"/>
    </xf>
    <xf numFmtId="0" fontId="29" fillId="0" borderId="0" xfId="0" applyFont="1" applyAlignment="1" applyProtection="1"/>
    <xf numFmtId="0" fontId="28" fillId="3" borderId="1" xfId="0" applyFont="1" applyFill="1" applyBorder="1" applyAlignment="1" applyProtection="1">
      <alignment horizontal="center" vertical="center" wrapText="1"/>
    </xf>
    <xf numFmtId="0" fontId="28" fillId="3" borderId="1" xfId="0" applyFont="1" applyFill="1" applyBorder="1" applyAlignment="1" applyProtection="1">
      <alignment horizontal="left" vertical="center" wrapText="1"/>
    </xf>
    <xf numFmtId="4" fontId="28" fillId="3" borderId="1" xfId="0" applyNumberFormat="1" applyFont="1" applyFill="1" applyBorder="1" applyAlignment="1" applyProtection="1">
      <alignment horizontal="center" vertical="center" wrapText="1"/>
    </xf>
    <xf numFmtId="0" fontId="30" fillId="3" borderId="1" xfId="2" applyFont="1" applyFill="1" applyBorder="1" applyAlignment="1" applyProtection="1">
      <alignment horizontal="center" vertical="center" wrapText="1"/>
    </xf>
    <xf numFmtId="14" fontId="28" fillId="3" borderId="1" xfId="0" applyNumberFormat="1" applyFont="1" applyFill="1" applyBorder="1" applyAlignment="1" applyProtection="1">
      <alignment horizontal="center" vertical="center" wrapText="1"/>
    </xf>
    <xf numFmtId="0" fontId="31" fillId="0" borderId="0" xfId="0" applyFont="1" applyAlignment="1" applyProtection="1"/>
    <xf numFmtId="1" fontId="28" fillId="0" borderId="1" xfId="0" applyNumberFormat="1" applyFont="1" applyBorder="1" applyAlignment="1" applyProtection="1">
      <alignment horizontal="center" vertical="center" wrapText="1"/>
    </xf>
    <xf numFmtId="0" fontId="28" fillId="0" borderId="1" xfId="0" applyFont="1" applyBorder="1" applyAlignment="1" applyProtection="1">
      <alignment horizontal="center" vertical="center" wrapText="1"/>
    </xf>
    <xf numFmtId="49" fontId="28" fillId="0" borderId="1" xfId="0" applyNumberFormat="1" applyFont="1" applyBorder="1" applyAlignment="1" applyProtection="1">
      <alignment horizontal="center" vertical="center" wrapText="1"/>
    </xf>
    <xf numFmtId="0" fontId="28" fillId="0" borderId="1" xfId="0" applyFont="1" applyBorder="1" applyAlignment="1" applyProtection="1">
      <alignment horizontal="left" vertical="center" wrapText="1"/>
    </xf>
    <xf numFmtId="4" fontId="28" fillId="0" borderId="1" xfId="0" applyNumberFormat="1" applyFont="1" applyBorder="1" applyAlignment="1" applyProtection="1">
      <alignment horizontal="center" vertical="center" wrapText="1"/>
    </xf>
    <xf numFmtId="0" fontId="30" fillId="0" borderId="1" xfId="2" applyFont="1" applyBorder="1" applyAlignment="1" applyProtection="1">
      <alignment horizontal="center" vertical="center" wrapText="1"/>
    </xf>
    <xf numFmtId="14" fontId="28" fillId="0" borderId="1" xfId="0" applyNumberFormat="1" applyFont="1" applyBorder="1" applyAlignment="1" applyProtection="1">
      <alignment horizontal="center" vertical="center" wrapText="1"/>
    </xf>
    <xf numFmtId="0" fontId="2" fillId="3" borderId="1" xfId="0" applyFont="1" applyFill="1" applyBorder="1" applyAlignment="1" applyProtection="1">
      <alignment horizontal="left"/>
    </xf>
    <xf numFmtId="0" fontId="28" fillId="0" borderId="1" xfId="0" applyFont="1" applyBorder="1" applyAlignment="1" applyProtection="1">
      <alignment horizontal="center" vertical="center"/>
    </xf>
    <xf numFmtId="49" fontId="28" fillId="0" borderId="1" xfId="0" applyNumberFormat="1" applyFont="1" applyBorder="1" applyAlignment="1" applyProtection="1">
      <alignment horizontal="center" vertical="center"/>
    </xf>
    <xf numFmtId="14" fontId="28" fillId="0" borderId="1" xfId="0" applyNumberFormat="1" applyFont="1" applyBorder="1" applyAlignment="1" applyProtection="1">
      <alignment horizontal="center" vertical="center"/>
    </xf>
    <xf numFmtId="0" fontId="28" fillId="3" borderId="1" xfId="0" applyFont="1" applyFill="1" applyBorder="1" applyAlignment="1" applyProtection="1">
      <alignment horizontal="center" vertical="center"/>
    </xf>
    <xf numFmtId="49" fontId="28" fillId="3" borderId="1" xfId="0" applyNumberFormat="1" applyFont="1" applyFill="1" applyBorder="1" applyAlignment="1" applyProtection="1">
      <alignment horizontal="center" vertical="center"/>
    </xf>
    <xf numFmtId="0" fontId="3" fillId="3" borderId="1" xfId="0" applyFont="1" applyFill="1" applyBorder="1" applyAlignment="1" applyProtection="1">
      <alignment horizontal="center" vertical="center"/>
    </xf>
    <xf numFmtId="14" fontId="28" fillId="3" borderId="1"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30" fillId="2" borderId="1" xfId="2" applyFont="1" applyFill="1" applyBorder="1" applyAlignment="1" applyProtection="1">
      <alignment horizontal="center" vertical="center" wrapText="1"/>
    </xf>
    <xf numFmtId="0" fontId="28" fillId="0" borderId="1" xfId="0" applyFont="1" applyBorder="1" applyAlignment="1" applyProtection="1">
      <alignment horizontal="left"/>
    </xf>
    <xf numFmtId="0" fontId="24" fillId="0" borderId="0" xfId="0" applyFont="1" applyAlignment="1" applyProtection="1"/>
    <xf numFmtId="0" fontId="28" fillId="2" borderId="1" xfId="0" applyFont="1" applyFill="1" applyBorder="1" applyAlignment="1" applyProtection="1">
      <alignment horizontal="left" vertical="center" wrapText="1"/>
    </xf>
    <xf numFmtId="0" fontId="3" fillId="0" borderId="1" xfId="0" applyFont="1" applyBorder="1" applyAlignment="1" applyProtection="1">
      <alignment horizontal="left"/>
    </xf>
    <xf numFmtId="0" fontId="28" fillId="0" borderId="36" xfId="0" applyFont="1" applyBorder="1" applyAlignment="1" applyProtection="1">
      <alignment horizontal="center" vertical="center"/>
    </xf>
    <xf numFmtId="0" fontId="28" fillId="0" borderId="36" xfId="0" applyFont="1" applyBorder="1" applyAlignment="1" applyProtection="1">
      <alignment horizontal="left" vertical="center" wrapText="1"/>
    </xf>
    <xf numFmtId="0" fontId="2" fillId="0" borderId="1" xfId="0" applyFont="1" applyBorder="1" applyAlignment="1" applyProtection="1">
      <alignment horizontal="left"/>
    </xf>
    <xf numFmtId="1" fontId="28" fillId="0" borderId="1" xfId="0" applyNumberFormat="1" applyFont="1" applyBorder="1" applyAlignment="1" applyProtection="1">
      <alignment horizontal="center" vertical="center"/>
    </xf>
    <xf numFmtId="0" fontId="27" fillId="0" borderId="1" xfId="0" applyFont="1" applyBorder="1" applyAlignment="1" applyProtection="1">
      <alignment horizontal="center" vertical="center"/>
    </xf>
    <xf numFmtId="4" fontId="27" fillId="0" borderId="1" xfId="0" applyNumberFormat="1" applyFont="1" applyBorder="1" applyAlignment="1" applyProtection="1">
      <alignment horizontal="center" vertical="center" wrapText="1"/>
    </xf>
    <xf numFmtId="0" fontId="3" fillId="2" borderId="0" xfId="0" applyFont="1" applyFill="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right" vertical="center" wrapText="1"/>
    </xf>
    <xf numFmtId="1" fontId="32" fillId="0" borderId="1" xfId="0" applyNumberFormat="1" applyFont="1" applyBorder="1" applyAlignment="1" applyProtection="1">
      <alignment horizontal="center" vertical="center" wrapText="1"/>
    </xf>
    <xf numFmtId="0" fontId="16" fillId="0" borderId="1" xfId="0" applyFont="1" applyBorder="1" applyAlignment="1" applyProtection="1">
      <alignment horizontal="left" vertical="center" wrapText="1"/>
    </xf>
    <xf numFmtId="0" fontId="32" fillId="0" borderId="1" xfId="0" applyFont="1" applyBorder="1" applyAlignment="1" applyProtection="1">
      <alignment horizontal="center" vertical="center" wrapText="1"/>
    </xf>
    <xf numFmtId="173" fontId="32" fillId="0" borderId="1" xfId="0" applyNumberFormat="1" applyFont="1" applyBorder="1" applyAlignment="1" applyProtection="1">
      <alignment horizontal="center" vertical="center" wrapText="1"/>
    </xf>
    <xf numFmtId="0" fontId="32" fillId="0" borderId="1" xfId="0" applyFont="1" applyBorder="1" applyAlignment="1" applyProtection="1">
      <alignment horizontal="left" vertical="center" wrapText="1"/>
    </xf>
    <xf numFmtId="174" fontId="16" fillId="0" borderId="1" xfId="0" applyNumberFormat="1" applyFont="1" applyBorder="1" applyAlignment="1" applyProtection="1">
      <alignment horizontal="center" vertical="center" wrapText="1"/>
    </xf>
    <xf numFmtId="49" fontId="32" fillId="0" borderId="1" xfId="0" applyNumberFormat="1" applyFont="1" applyBorder="1" applyAlignment="1" applyProtection="1">
      <alignment horizontal="center" vertical="center" wrapText="1"/>
    </xf>
    <xf numFmtId="174" fontId="32" fillId="0" borderId="1" xfId="0" applyNumberFormat="1" applyFont="1" applyBorder="1" applyAlignment="1" applyProtection="1">
      <alignment horizontal="center" vertical="center" wrapText="1"/>
    </xf>
    <xf numFmtId="171" fontId="32" fillId="0" borderId="1" xfId="1" applyNumberFormat="1" applyFont="1" applyBorder="1" applyAlignment="1" applyProtection="1">
      <alignment horizontal="center" vertical="center" wrapText="1"/>
    </xf>
    <xf numFmtId="164" fontId="32" fillId="0" borderId="1" xfId="0" applyNumberFormat="1" applyFont="1" applyBorder="1" applyAlignment="1" applyProtection="1">
      <alignment horizontal="center" vertical="center" wrapText="1"/>
    </xf>
    <xf numFmtId="1" fontId="32" fillId="0" borderId="1" xfId="0" applyNumberFormat="1" applyFont="1" applyBorder="1" applyAlignment="1" applyProtection="1">
      <alignment horizontal="center" vertical="center"/>
    </xf>
    <xf numFmtId="0" fontId="25" fillId="0" borderId="1" xfId="0" applyFont="1" applyBorder="1" applyAlignment="1" applyProtection="1">
      <alignment horizontal="center" vertical="center" wrapText="1"/>
    </xf>
    <xf numFmtId="14" fontId="32" fillId="0" borderId="1" xfId="0" applyNumberFormat="1" applyFont="1" applyBorder="1" applyAlignment="1" applyProtection="1">
      <alignment horizontal="center" vertical="center" wrapText="1"/>
    </xf>
    <xf numFmtId="0" fontId="32" fillId="0" borderId="1" xfId="0" applyFont="1" applyBorder="1" applyAlignment="1" applyProtection="1">
      <alignment horizontal="left" vertical="center"/>
    </xf>
    <xf numFmtId="0" fontId="5" fillId="0" borderId="2" xfId="0" applyFont="1" applyBorder="1" applyAlignment="1" applyProtection="1">
      <alignment horizontal="center" vertical="center" wrapText="1"/>
    </xf>
    <xf numFmtId="0" fontId="17" fillId="2" borderId="0" xfId="0" applyFont="1" applyFill="1" applyBorder="1" applyAlignment="1" applyProtection="1">
      <alignment horizontal="right" wrapText="1"/>
    </xf>
    <xf numFmtId="0" fontId="19" fillId="2" borderId="0" xfId="0" applyFont="1" applyFill="1" applyBorder="1" applyAlignment="1" applyProtection="1">
      <alignment horizontal="center" wrapText="1"/>
    </xf>
    <xf numFmtId="0" fontId="20" fillId="2" borderId="0" xfId="0" applyFont="1" applyFill="1" applyBorder="1" applyAlignment="1" applyProtection="1">
      <alignment horizontal="center" wrapText="1"/>
    </xf>
    <xf numFmtId="0" fontId="7" fillId="2" borderId="0" xfId="0" applyFont="1" applyFill="1" applyBorder="1" applyAlignment="1" applyProtection="1">
      <alignment horizontal="center" wrapText="1"/>
    </xf>
    <xf numFmtId="0" fontId="17" fillId="2" borderId="0" xfId="0" applyFont="1" applyFill="1" applyBorder="1" applyAlignment="1" applyProtection="1">
      <alignment horizontal="center" wrapText="1"/>
    </xf>
    <xf numFmtId="0" fontId="21" fillId="2" borderId="0"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24" fillId="2" borderId="1"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xf>
    <xf numFmtId="165" fontId="24" fillId="2" borderId="1" xfId="0"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center" wrapText="1"/>
    </xf>
    <xf numFmtId="0" fontId="4" fillId="0" borderId="3"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27" fillId="0" borderId="1" xfId="0" applyFont="1" applyBorder="1" applyAlignment="1" applyProtection="1">
      <alignment horizontal="center" vertical="center" wrapText="1"/>
    </xf>
    <xf numFmtId="0" fontId="28" fillId="0" borderId="0" xfId="0" applyFont="1" applyBorder="1" applyAlignment="1" applyProtection="1">
      <alignment horizontal="center" vertical="top" wrapText="1"/>
    </xf>
    <xf numFmtId="0" fontId="4" fillId="0" borderId="2" xfId="0" applyFont="1" applyBorder="1" applyAlignment="1" applyProtection="1">
      <alignment horizontal="center" vertical="center" wrapText="1"/>
    </xf>
    <xf numFmtId="0" fontId="16" fillId="0" borderId="3" xfId="0" applyFont="1" applyBorder="1" applyAlignment="1" applyProtection="1">
      <alignment horizontal="center" vertical="center" wrapText="1"/>
    </xf>
    <xf numFmtId="0" fontId="16" fillId="0" borderId="1" xfId="0" applyFont="1" applyBorder="1" applyAlignment="1" applyProtection="1">
      <alignment horizontal="center" vertical="center" textRotation="90" wrapText="1"/>
    </xf>
    <xf numFmtId="1" fontId="28" fillId="3" borderId="1" xfId="0" applyNumberFormat="1" applyFont="1" applyFill="1" applyBorder="1" applyAlignment="1" applyProtection="1">
      <alignment horizontal="center" vertical="center" wrapText="1"/>
    </xf>
    <xf numFmtId="0" fontId="28" fillId="3" borderId="1" xfId="0" applyFont="1" applyFill="1" applyBorder="1" applyAlignment="1" applyProtection="1">
      <alignment horizontal="center" vertical="center" wrapText="1"/>
    </xf>
    <xf numFmtId="49" fontId="28" fillId="3" borderId="1" xfId="0" applyNumberFormat="1" applyFont="1" applyFill="1" applyBorder="1" applyAlignment="1" applyProtection="1">
      <alignment horizontal="center" vertical="center" wrapText="1"/>
    </xf>
    <xf numFmtId="0" fontId="28" fillId="3" borderId="1" xfId="0" applyFont="1" applyFill="1" applyBorder="1" applyAlignment="1" applyProtection="1">
      <alignment horizontal="left" vertical="center" wrapText="1"/>
    </xf>
    <xf numFmtId="4" fontId="28" fillId="3" borderId="1" xfId="0" applyNumberFormat="1" applyFont="1" applyFill="1" applyBorder="1" applyAlignment="1" applyProtection="1">
      <alignment horizontal="center" vertical="center" wrapText="1"/>
    </xf>
    <xf numFmtId="0" fontId="30" fillId="3" borderId="1" xfId="2" applyFont="1" applyFill="1" applyBorder="1" applyAlignment="1" applyProtection="1">
      <alignment horizontal="center" vertical="center" wrapText="1"/>
    </xf>
    <xf numFmtId="14" fontId="28" fillId="3" borderId="1" xfId="0" applyNumberFormat="1" applyFont="1" applyFill="1" applyBorder="1" applyAlignment="1" applyProtection="1">
      <alignment horizontal="center" vertical="center" wrapText="1"/>
    </xf>
    <xf numFmtId="0" fontId="28" fillId="0" borderId="1" xfId="0" applyFont="1" applyBorder="1" applyAlignment="1" applyProtection="1">
      <alignment horizontal="center" vertical="center" wrapText="1"/>
    </xf>
    <xf numFmtId="0" fontId="28" fillId="0" borderId="1" xfId="0" applyFont="1" applyBorder="1" applyAlignment="1" applyProtection="1">
      <alignment horizontal="center" vertical="center"/>
    </xf>
    <xf numFmtId="49" fontId="28"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0" fontId="30" fillId="0" borderId="1" xfId="2" applyFont="1" applyBorder="1" applyAlignment="1" applyProtection="1">
      <alignment horizontal="center" vertical="center" wrapText="1"/>
    </xf>
    <xf numFmtId="14" fontId="28" fillId="0" borderId="1" xfId="0" applyNumberFormat="1" applyFont="1" applyBorder="1" applyAlignment="1" applyProtection="1">
      <alignment horizontal="center" vertical="center"/>
    </xf>
    <xf numFmtId="0" fontId="3" fillId="0" borderId="1" xfId="0" applyFont="1" applyBorder="1" applyAlignment="1" applyProtection="1">
      <alignment horizontal="center" vertical="center"/>
    </xf>
    <xf numFmtId="0" fontId="28" fillId="0" borderId="1" xfId="0" applyFont="1" applyBorder="1" applyAlignment="1" applyProtection="1">
      <alignment vertical="center" wrapText="1"/>
    </xf>
    <xf numFmtId="49" fontId="28" fillId="0" borderId="1" xfId="0" applyNumberFormat="1" applyFont="1" applyBorder="1" applyAlignment="1" applyProtection="1">
      <alignment horizontal="center" vertical="center" wrapText="1"/>
    </xf>
    <xf numFmtId="0" fontId="30" fillId="2" borderId="1" xfId="2" applyFont="1" applyFill="1" applyBorder="1" applyAlignment="1" applyProtection="1">
      <alignment horizontal="center" vertical="center" wrapText="1"/>
    </xf>
    <xf numFmtId="14" fontId="28" fillId="0" borderId="1" xfId="0" applyNumberFormat="1" applyFont="1" applyBorder="1" applyAlignment="1" applyProtection="1">
      <alignment horizontal="center" vertical="center" wrapText="1"/>
    </xf>
    <xf numFmtId="0" fontId="28" fillId="0" borderId="1" xfId="0" applyFont="1" applyBorder="1" applyAlignment="1" applyProtection="1">
      <alignment horizontal="left" vertical="center" wrapText="1"/>
    </xf>
    <xf numFmtId="0" fontId="2" fillId="0" borderId="1" xfId="0" applyFont="1" applyBorder="1" applyAlignment="1" applyProtection="1">
      <alignment horizontal="center"/>
    </xf>
    <xf numFmtId="0" fontId="4" fillId="0" borderId="0"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3" fillId="0" borderId="0" xfId="0" applyFont="1" applyBorder="1" applyAlignment="1" applyProtection="1">
      <alignment horizontal="center" vertical="center" wrapText="1"/>
    </xf>
  </cellXfs>
  <cellStyles count="4">
    <cellStyle name="Excel Built-in Explanatory Text" xfId="3" xr:uid="{00000000-0005-0000-0000-000006000000}"/>
    <cellStyle name="Гиперссылка" xfId="2" builtinId="8"/>
    <cellStyle name="Обычный" xfId="0" builtinId="0"/>
    <cellStyle name="Процентный" xfId="1"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square"/>
            <c:size val="5"/>
            <c:spPr>
              <a:solidFill>
                <a:srgbClr val="666699"/>
              </a:solidFill>
            </c:spPr>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-12511200</c:v>
                </c:pt>
                <c:pt idx="1">
                  <c:v>1672665.0991304342</c:v>
                </c:pt>
                <c:pt idx="2">
                  <c:v>1670140.3046956512</c:v>
                </c:pt>
                <c:pt idx="3">
                  <c:v>1481063.894869992</c:v>
                </c:pt>
                <c:pt idx="4">
                  <c:v>1313776.4672841937</c:v>
                </c:pt>
                <c:pt idx="5">
                  <c:v>1165719.0973762344</c:v>
                </c:pt>
                <c:pt idx="6">
                  <c:v>998579.66928027559</c:v>
                </c:pt>
                <c:pt idx="7">
                  <c:v>761772.64029968577</c:v>
                </c:pt>
                <c:pt idx="8">
                  <c:v>679383.23686068773</c:v>
                </c:pt>
                <c:pt idx="9">
                  <c:v>606033.55961237173</c:v>
                </c:pt>
                <c:pt idx="10">
                  <c:v>540714.27859046729</c:v>
                </c:pt>
                <c:pt idx="11">
                  <c:v>482531.08150745468</c:v>
                </c:pt>
                <c:pt idx="12">
                  <c:v>430691.26677928411</c:v>
                </c:pt>
                <c:pt idx="13">
                  <c:v>384491.93707878294</c:v>
                </c:pt>
                <c:pt idx="14">
                  <c:v>343309.59773987671</c:v>
                </c:pt>
                <c:pt idx="15">
                  <c:v>306590.98880341352</c:v>
                </c:pt>
                <c:pt idx="16">
                  <c:v>282758.37755556992</c:v>
                </c:pt>
                <c:pt idx="17">
                  <c:v>253068.37276879884</c:v>
                </c:pt>
                <c:pt idx="18">
                  <c:v>226501.24753452616</c:v>
                </c:pt>
                <c:pt idx="19">
                  <c:v>202727.83640911494</c:v>
                </c:pt>
              </c:numCache>
            </c:numRef>
          </c:yVal>
          <c:smooth val="1"/>
          <c:extLst>
            <c:ext xmlns:c16="http://schemas.microsoft.com/office/drawing/2014/chart" uri="{C3380CC4-5D6E-409C-BE32-E72D297353CC}">
              <c16:uniqueId val="{00000000-88AD-4AFF-8242-A665A6A546E3}"/>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square"/>
            <c:size val="5"/>
            <c:spPr>
              <a:solidFill>
                <a:srgbClr val="993366"/>
              </a:solidFill>
            </c:spPr>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-12511200</c:v>
                </c:pt>
                <c:pt idx="1">
                  <c:v>-10838534.900869565</c:v>
                </c:pt>
                <c:pt idx="2">
                  <c:v>-9168394.5961739141</c:v>
                </c:pt>
                <c:pt idx="3">
                  <c:v>-7687330.7013039216</c:v>
                </c:pt>
                <c:pt idx="4">
                  <c:v>-6373554.2340197284</c:v>
                </c:pt>
                <c:pt idx="5">
                  <c:v>-5207835.1366434935</c:v>
                </c:pt>
                <c:pt idx="6">
                  <c:v>-4209255.4673632178</c:v>
                </c:pt>
                <c:pt idx="7">
                  <c:v>-3447482.8270635321</c:v>
                </c:pt>
                <c:pt idx="8">
                  <c:v>-2768099.5902028442</c:v>
                </c:pt>
                <c:pt idx="9">
                  <c:v>-2162066.0305904727</c:v>
                </c:pt>
                <c:pt idx="10">
                  <c:v>-1621351.7520000055</c:v>
                </c:pt>
                <c:pt idx="11">
                  <c:v>-1138820.6704925508</c:v>
                </c:pt>
                <c:pt idx="12">
                  <c:v>-708129.40371326671</c:v>
                </c:pt>
                <c:pt idx="13">
                  <c:v>-323637.46663448378</c:v>
                </c:pt>
                <c:pt idx="14">
                  <c:v>19672.131105392938</c:v>
                </c:pt>
                <c:pt idx="15">
                  <c:v>326263.11990880646</c:v>
                </c:pt>
                <c:pt idx="16">
                  <c:v>609021.49746437639</c:v>
                </c:pt>
                <c:pt idx="17">
                  <c:v>862089.87023317523</c:v>
                </c:pt>
                <c:pt idx="18">
                  <c:v>1088591.1177677014</c:v>
                </c:pt>
                <c:pt idx="19">
                  <c:v>1291318.9541768164</c:v>
                </c:pt>
              </c:numCache>
            </c:numRef>
          </c:yVal>
          <c:smooth val="1"/>
          <c:extLst>
            <c:ext xmlns:c16="http://schemas.microsoft.com/office/drawing/2014/chart" uri="{C3380CC4-5D6E-409C-BE32-E72D297353CC}">
              <c16:uniqueId val="{00000001-88AD-4AFF-8242-A665A6A546E3}"/>
            </c:ext>
          </c:extLst>
        </c:ser>
        <c:dLbls>
          <c:showLegendKey val="0"/>
          <c:showVal val="0"/>
          <c:showCatName val="0"/>
          <c:showSerName val="0"/>
          <c:showPercent val="0"/>
          <c:showBubbleSize val="0"/>
        </c:dLbls>
        <c:axId val="26196633"/>
        <c:axId val="61393482"/>
      </c:scatterChart>
      <c:valAx>
        <c:axId val="26196633"/>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Arial"/>
              </a:defRPr>
            </a:pPr>
            <a:endParaRPr lang="ru-RU"/>
          </a:p>
        </c:txPr>
        <c:crossAx val="61393482"/>
        <c:crosses val="autoZero"/>
        <c:crossBetween val="midCat"/>
      </c:valAx>
      <c:valAx>
        <c:axId val="61393482"/>
        <c:scaling>
          <c:orientation val="minMax"/>
        </c:scaling>
        <c:delete val="0"/>
        <c:axPos val="l"/>
        <c:majorGridlines>
          <c:spPr>
            <a:ln w="6480">
              <a:solidFill>
                <a:srgbClr val="808080"/>
              </a:solidFill>
              <a:round/>
            </a:ln>
          </c:spPr>
        </c:majorGridlines>
        <c:numFmt formatCode="_(* #\ ##0_);_(* \(#\ ##0\);_(* \-_);_(@_)"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Arial"/>
              </a:defRPr>
            </a:pPr>
            <a:endParaRPr lang="ru-RU"/>
          </a:p>
        </c:txPr>
        <c:crossAx val="26196633"/>
        <c:crosses val="autoZero"/>
        <c:crossBetween val="midCat"/>
      </c:valAx>
      <c:spPr>
        <a:solidFill>
          <a:srgbClr val="FFFFFF"/>
        </a:solidFill>
        <a:ln w="0">
          <a:noFill/>
        </a:ln>
      </c:spPr>
    </c:plotArea>
    <c:legend>
      <c:legendPos val="r"/>
      <c:overlay val="0"/>
      <c:spPr>
        <a:noFill/>
        <a:ln w="0">
          <a:noFill/>
        </a:ln>
      </c:spPr>
      <c:txPr>
        <a:bodyPr/>
        <a:lstStyle/>
        <a:p>
          <a:pPr>
            <a:defRPr lang="ru-RU" sz="1000" b="0" strike="noStrike" spc="-1">
              <a:solidFill>
                <a:srgbClr val="000000"/>
              </a:solidFill>
              <a:latin typeface="Arial"/>
            </a:defRPr>
          </a:pPr>
          <a:endParaRPr lang="ru-RU"/>
        </a:p>
      </c:tx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408600</xdr:colOff>
      <xdr:row>26</xdr:row>
      <xdr:rowOff>168480</xdr:rowOff>
    </xdr:from>
    <xdr:to>
      <xdr:col>6</xdr:col>
      <xdr:colOff>586800</xdr:colOff>
      <xdr:row>39</xdr:row>
      <xdr:rowOff>109440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www.zakupki.gov.ru/" TargetMode="External"/><Relationship Id="rId13" Type="http://schemas.openxmlformats.org/officeDocument/2006/relationships/hyperlink" Target="http://www.zakupki.gov.ru/" TargetMode="External"/><Relationship Id="rId3" Type="http://schemas.openxmlformats.org/officeDocument/2006/relationships/hyperlink" Target="http://www.zakupki.gov.ru/" TargetMode="External"/><Relationship Id="rId7" Type="http://schemas.openxmlformats.org/officeDocument/2006/relationships/hyperlink" Target="http://www.zakupki.gov.ru/" TargetMode="External"/><Relationship Id="rId12" Type="http://schemas.openxmlformats.org/officeDocument/2006/relationships/hyperlink" Target="http://www.zakupki.gov.ru/" TargetMode="External"/><Relationship Id="rId2" Type="http://schemas.openxmlformats.org/officeDocument/2006/relationships/hyperlink" Target="http://www.zakupki.gov.ru/" TargetMode="External"/><Relationship Id="rId1" Type="http://schemas.openxmlformats.org/officeDocument/2006/relationships/hyperlink" Target="http://etp.gpb.ru/" TargetMode="External"/><Relationship Id="rId6" Type="http://schemas.openxmlformats.org/officeDocument/2006/relationships/hyperlink" Target="http://www.zakupki.gov.ru/" TargetMode="External"/><Relationship Id="rId11" Type="http://schemas.openxmlformats.org/officeDocument/2006/relationships/hyperlink" Target="http://www.zakupki.gov.ru/" TargetMode="External"/><Relationship Id="rId5" Type="http://schemas.openxmlformats.org/officeDocument/2006/relationships/hyperlink" Target="http://www.zakupki.gov.ru/" TargetMode="External"/><Relationship Id="rId15" Type="http://schemas.openxmlformats.org/officeDocument/2006/relationships/hyperlink" Target="http://www.zakupki.gov.ru/" TargetMode="External"/><Relationship Id="rId10" Type="http://schemas.openxmlformats.org/officeDocument/2006/relationships/hyperlink" Target="http://www.zakupki.gov.ru/" TargetMode="External"/><Relationship Id="rId4" Type="http://schemas.openxmlformats.org/officeDocument/2006/relationships/hyperlink" Target="http://www.zakupki.gov.ru/" TargetMode="External"/><Relationship Id="rId9" Type="http://schemas.openxmlformats.org/officeDocument/2006/relationships/hyperlink" Target="http://www.zakupki.gov.ru/" TargetMode="External"/><Relationship Id="rId14" Type="http://schemas.openxmlformats.org/officeDocument/2006/relationships/hyperlink" Target="http://www.zakupki.gov.ru/"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abSelected="1" zoomScale="90" zoomScaleNormal="90" workbookViewId="0">
      <selection activeCell="D2" sqref="D2"/>
    </sheetView>
  </sheetViews>
  <sheetFormatPr defaultColWidth="9" defaultRowHeight="15" x14ac:dyDescent="0.2"/>
  <cols>
    <col min="1" max="1" width="4.85546875" style="15" customWidth="1"/>
    <col min="2" max="2" width="50.5703125" style="16" customWidth="1"/>
    <col min="3" max="3" width="56.28515625" style="17" customWidth="1"/>
    <col min="4" max="1025" width="8.42578125" style="18" customWidth="1"/>
  </cols>
  <sheetData>
    <row r="1" spans="1:3" s="19" customFormat="1" ht="15.75" customHeight="1" x14ac:dyDescent="0.25">
      <c r="C1" s="20" t="s">
        <v>0</v>
      </c>
    </row>
    <row r="2" spans="1:3" s="19" customFormat="1" ht="15.75" customHeight="1" x14ac:dyDescent="0.25">
      <c r="C2" s="20" t="s">
        <v>1</v>
      </c>
    </row>
    <row r="3" spans="1:3" s="19" customFormat="1" ht="15.75" customHeight="1" x14ac:dyDescent="0.25">
      <c r="C3" s="20" t="s">
        <v>2</v>
      </c>
    </row>
    <row r="4" spans="1:3" s="19" customFormat="1" ht="15.75" customHeight="1" x14ac:dyDescent="0.25"/>
    <row r="5" spans="1:3" s="19" customFormat="1" ht="15.75" customHeight="1" x14ac:dyDescent="0.25">
      <c r="A5" s="14" t="s">
        <v>3</v>
      </c>
      <c r="B5" s="14"/>
      <c r="C5" s="14"/>
    </row>
    <row r="6" spans="1:3" s="19" customFormat="1" ht="15.75" customHeight="1" x14ac:dyDescent="0.25"/>
    <row r="7" spans="1:3" s="19" customFormat="1" ht="18.75" customHeight="1" x14ac:dyDescent="0.3">
      <c r="A7" s="13" t="s">
        <v>4</v>
      </c>
      <c r="B7" s="13"/>
      <c r="C7" s="13"/>
    </row>
    <row r="8" spans="1:3" s="19" customFormat="1" ht="15.75" customHeight="1" x14ac:dyDescent="0.25"/>
    <row r="9" spans="1:3" s="19" customFormat="1" ht="15.75" customHeight="1" x14ac:dyDescent="0.25">
      <c r="A9" s="12" t="s">
        <v>5</v>
      </c>
      <c r="B9" s="12"/>
      <c r="C9" s="12"/>
    </row>
    <row r="10" spans="1:3" s="19" customFormat="1" ht="15.75" customHeight="1" x14ac:dyDescent="0.25">
      <c r="A10" s="11" t="s">
        <v>6</v>
      </c>
      <c r="B10" s="11"/>
      <c r="C10" s="11"/>
    </row>
    <row r="11" spans="1:3" s="19" customFormat="1" ht="15.75" customHeight="1" x14ac:dyDescent="0.25"/>
    <row r="12" spans="1:3" s="19" customFormat="1" ht="15.75" customHeight="1" x14ac:dyDescent="0.25">
      <c r="A12" s="12" t="s">
        <v>7</v>
      </c>
      <c r="B12" s="12"/>
      <c r="C12" s="12"/>
    </row>
    <row r="13" spans="1:3" s="19" customFormat="1" ht="15.75" customHeight="1" x14ac:dyDescent="0.25">
      <c r="A13" s="11" t="s">
        <v>8</v>
      </c>
      <c r="B13" s="11"/>
      <c r="C13" s="11"/>
    </row>
    <row r="14" spans="1:3" s="19" customFormat="1" ht="15.75" customHeight="1" x14ac:dyDescent="0.25"/>
    <row r="15" spans="1:3" s="19" customFormat="1" ht="15.75" customHeight="1" x14ac:dyDescent="0.25">
      <c r="A15" s="10" t="s">
        <v>9</v>
      </c>
      <c r="B15" s="10"/>
      <c r="C15" s="10"/>
    </row>
    <row r="16" spans="1:3" s="19" customFormat="1" ht="15.75" customHeight="1" x14ac:dyDescent="0.25">
      <c r="A16" s="11" t="s">
        <v>10</v>
      </c>
      <c r="B16" s="11"/>
      <c r="C16" s="11"/>
    </row>
    <row r="17" spans="1:3" s="19" customFormat="1" ht="15.75" customHeight="1" x14ac:dyDescent="0.25"/>
    <row r="18" spans="1:3" s="19" customFormat="1" ht="18.75" customHeight="1" x14ac:dyDescent="0.3">
      <c r="A18" s="13" t="s">
        <v>11</v>
      </c>
      <c r="B18" s="13"/>
      <c r="C18" s="13"/>
    </row>
    <row r="19" spans="1:3" s="19" customFormat="1" ht="15.75" customHeight="1" x14ac:dyDescent="0.25"/>
    <row r="20" spans="1:3" s="19" customFormat="1" ht="30.75" customHeight="1" x14ac:dyDescent="0.25">
      <c r="A20" s="21" t="s">
        <v>12</v>
      </c>
      <c r="B20" s="21" t="s">
        <v>13</v>
      </c>
      <c r="C20" s="21" t="s">
        <v>14</v>
      </c>
    </row>
    <row r="21" spans="1:3" s="23" customFormat="1" ht="15.75" customHeight="1" x14ac:dyDescent="0.2">
      <c r="A21" s="22">
        <v>1</v>
      </c>
      <c r="B21" s="22">
        <v>2</v>
      </c>
      <c r="C21" s="22">
        <v>3</v>
      </c>
    </row>
    <row r="22" spans="1:3" s="19" customFormat="1" ht="30.75" customHeight="1" x14ac:dyDescent="0.25">
      <c r="A22" s="24">
        <v>1</v>
      </c>
      <c r="B22" s="25" t="s">
        <v>15</v>
      </c>
      <c r="C22" s="21" t="s">
        <v>16</v>
      </c>
    </row>
    <row r="23" spans="1:3" s="19" customFormat="1" ht="54" customHeight="1" x14ac:dyDescent="0.25">
      <c r="A23" s="24">
        <v>2</v>
      </c>
      <c r="B23" s="25" t="s">
        <v>17</v>
      </c>
      <c r="C23" s="21" t="s">
        <v>18</v>
      </c>
    </row>
    <row r="24" spans="1:3" s="19" customFormat="1" ht="15.75" customHeight="1" x14ac:dyDescent="0.25">
      <c r="A24" s="9"/>
      <c r="B24" s="9"/>
      <c r="C24" s="9"/>
    </row>
    <row r="25" spans="1:3" s="19" customFormat="1" ht="45.75" customHeight="1" x14ac:dyDescent="0.25">
      <c r="A25" s="24">
        <v>3</v>
      </c>
      <c r="B25" s="25" t="s">
        <v>19</v>
      </c>
      <c r="C25" s="21" t="s">
        <v>5</v>
      </c>
    </row>
    <row r="26" spans="1:3" s="19" customFormat="1" ht="30.75" customHeight="1" x14ac:dyDescent="0.25">
      <c r="A26" s="24">
        <v>4</v>
      </c>
      <c r="B26" s="25" t="s">
        <v>20</v>
      </c>
      <c r="C26" s="21" t="s">
        <v>21</v>
      </c>
    </row>
    <row r="27" spans="1:3" s="19" customFormat="1" ht="45.75" customHeight="1" x14ac:dyDescent="0.25">
      <c r="A27" s="24">
        <v>5</v>
      </c>
      <c r="B27" s="25" t="s">
        <v>22</v>
      </c>
      <c r="C27" s="21" t="s">
        <v>23</v>
      </c>
    </row>
    <row r="28" spans="1:3" s="19" customFormat="1" ht="15.75" customHeight="1" x14ac:dyDescent="0.25">
      <c r="A28" s="24">
        <v>6</v>
      </c>
      <c r="B28" s="25" t="s">
        <v>24</v>
      </c>
      <c r="C28" s="21" t="s">
        <v>25</v>
      </c>
    </row>
    <row r="29" spans="1:3" s="19" customFormat="1" ht="30.75" customHeight="1" x14ac:dyDescent="0.25">
      <c r="A29" s="24">
        <v>7</v>
      </c>
      <c r="B29" s="25" t="s">
        <v>26</v>
      </c>
      <c r="C29" s="21" t="s">
        <v>25</v>
      </c>
    </row>
    <row r="30" spans="1:3" s="19" customFormat="1" ht="30.75" customHeight="1" x14ac:dyDescent="0.25">
      <c r="A30" s="24">
        <v>8</v>
      </c>
      <c r="B30" s="25" t="s">
        <v>27</v>
      </c>
      <c r="C30" s="21" t="s">
        <v>25</v>
      </c>
    </row>
    <row r="31" spans="1:3" s="19" customFormat="1" ht="30.75" customHeight="1" x14ac:dyDescent="0.25">
      <c r="A31" s="24">
        <v>9</v>
      </c>
      <c r="B31" s="25" t="s">
        <v>28</v>
      </c>
      <c r="C31" s="21" t="s">
        <v>25</v>
      </c>
    </row>
    <row r="32" spans="1:3" s="19" customFormat="1" ht="30.75" customHeight="1" x14ac:dyDescent="0.25">
      <c r="A32" s="24">
        <v>10</v>
      </c>
      <c r="B32" s="25" t="s">
        <v>29</v>
      </c>
      <c r="C32" s="21" t="s">
        <v>25</v>
      </c>
    </row>
    <row r="33" spans="1:3" s="19" customFormat="1" ht="75.75" customHeight="1" x14ac:dyDescent="0.25">
      <c r="A33" s="24">
        <v>11</v>
      </c>
      <c r="B33" s="25" t="s">
        <v>30</v>
      </c>
      <c r="C33" s="21" t="s">
        <v>31</v>
      </c>
    </row>
    <row r="34" spans="1:3" s="19" customFormat="1" ht="90.75" customHeight="1" x14ac:dyDescent="0.25">
      <c r="A34" s="24">
        <v>12</v>
      </c>
      <c r="B34" s="25" t="s">
        <v>32</v>
      </c>
      <c r="C34" s="21" t="s">
        <v>25</v>
      </c>
    </row>
    <row r="35" spans="1:3" s="19" customFormat="1" ht="45.75" customHeight="1" x14ac:dyDescent="0.25">
      <c r="A35" s="24">
        <v>13</v>
      </c>
      <c r="B35" s="25" t="s">
        <v>33</v>
      </c>
      <c r="C35" s="21" t="s">
        <v>25</v>
      </c>
    </row>
    <row r="36" spans="1:3" s="19" customFormat="1" ht="30.75" customHeight="1" x14ac:dyDescent="0.25">
      <c r="A36" s="24">
        <v>14</v>
      </c>
      <c r="B36" s="25" t="s">
        <v>34</v>
      </c>
      <c r="C36" s="21" t="s">
        <v>35</v>
      </c>
    </row>
    <row r="37" spans="1:3" s="19" customFormat="1" ht="15.75" customHeight="1" x14ac:dyDescent="0.25">
      <c r="A37" s="24">
        <v>15</v>
      </c>
      <c r="B37" s="25" t="s">
        <v>36</v>
      </c>
      <c r="C37" s="21" t="s">
        <v>35</v>
      </c>
    </row>
    <row r="38" spans="1:3" s="19" customFormat="1" ht="15.75" customHeight="1" x14ac:dyDescent="0.25">
      <c r="A38" s="24">
        <v>16</v>
      </c>
      <c r="B38" s="25" t="s">
        <v>37</v>
      </c>
      <c r="C38" s="21" t="s">
        <v>25</v>
      </c>
    </row>
    <row r="39" spans="1:3" s="19" customFormat="1" ht="15.75" customHeight="1" x14ac:dyDescent="0.25">
      <c r="A39" s="9"/>
      <c r="B39" s="9"/>
      <c r="C39" s="9"/>
    </row>
    <row r="40" spans="1:3" ht="60.75" customHeight="1" x14ac:dyDescent="0.2">
      <c r="A40" s="24">
        <v>17</v>
      </c>
      <c r="B40" s="25" t="s">
        <v>38</v>
      </c>
      <c r="C40" s="21" t="s">
        <v>35</v>
      </c>
    </row>
    <row r="41" spans="1:3" ht="90.75" customHeight="1" x14ac:dyDescent="0.2">
      <c r="A41" s="24">
        <v>18</v>
      </c>
      <c r="B41" s="25" t="s">
        <v>39</v>
      </c>
      <c r="C41" s="21" t="s">
        <v>40</v>
      </c>
    </row>
    <row r="42" spans="1:3" ht="71.25" customHeight="1" x14ac:dyDescent="0.2">
      <c r="A42" s="24">
        <v>19</v>
      </c>
      <c r="B42" s="25" t="s">
        <v>41</v>
      </c>
      <c r="C42" s="21" t="s">
        <v>42</v>
      </c>
    </row>
    <row r="43" spans="1:3" ht="165.75" customHeight="1" x14ac:dyDescent="0.2">
      <c r="A43" s="24">
        <v>20</v>
      </c>
      <c r="B43" s="25" t="s">
        <v>43</v>
      </c>
      <c r="C43" s="21" t="s">
        <v>35</v>
      </c>
    </row>
    <row r="44" spans="1:3" ht="90.75" customHeight="1" x14ac:dyDescent="0.2">
      <c r="A44" s="24">
        <v>21</v>
      </c>
      <c r="B44" s="25" t="s">
        <v>44</v>
      </c>
      <c r="C44" s="21" t="s">
        <v>31</v>
      </c>
    </row>
    <row r="45" spans="1:3" ht="75.75" customHeight="1" x14ac:dyDescent="0.2">
      <c r="A45" s="24">
        <v>22</v>
      </c>
      <c r="B45" s="25" t="s">
        <v>45</v>
      </c>
      <c r="C45" s="21" t="s">
        <v>31</v>
      </c>
    </row>
    <row r="46" spans="1:3" ht="90.75" customHeight="1" x14ac:dyDescent="0.2">
      <c r="A46" s="24">
        <v>23</v>
      </c>
      <c r="B46" s="25" t="s">
        <v>46</v>
      </c>
      <c r="C46" s="21" t="s">
        <v>35</v>
      </c>
    </row>
    <row r="47" spans="1:3" ht="15.75" customHeight="1" x14ac:dyDescent="0.2">
      <c r="A47" s="9"/>
      <c r="B47" s="9"/>
      <c r="C47" s="9"/>
    </row>
    <row r="48" spans="1:3" ht="45.75" customHeight="1" x14ac:dyDescent="0.2">
      <c r="A48" s="24">
        <v>24</v>
      </c>
      <c r="B48" s="25" t="s">
        <v>47</v>
      </c>
      <c r="C48" s="26">
        <f>'6.2 Паспорт фин осв ввод'!D23</f>
        <v>14.151999999999999</v>
      </c>
    </row>
    <row r="49" spans="1:3" ht="45.75" customHeight="1" x14ac:dyDescent="0.2">
      <c r="A49" s="24">
        <v>25</v>
      </c>
      <c r="B49" s="25" t="s">
        <v>48</v>
      </c>
      <c r="C49" s="26">
        <f>'6.2 Паспорт фин осв ввод'!D29</f>
        <v>11.821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L63"/>
  <sheetViews>
    <sheetView topLeftCell="A16" zoomScale="80" zoomScaleNormal="80" workbookViewId="0">
      <selection activeCell="X57" sqref="X57"/>
    </sheetView>
  </sheetViews>
  <sheetFormatPr defaultColWidth="9" defaultRowHeight="15" x14ac:dyDescent="0.2"/>
  <cols>
    <col min="1" max="1" width="8" style="16" customWidth="1"/>
    <col min="2" max="2" width="42.7109375" style="16" customWidth="1"/>
    <col min="3" max="4" width="11.140625" style="16" customWidth="1"/>
    <col min="5" max="6" width="14.42578125" style="16" customWidth="1"/>
    <col min="7" max="7" width="9.85546875" style="16" customWidth="1"/>
    <col min="8" max="13" width="7.85546875" style="16" customWidth="1"/>
    <col min="14" max="14" width="10" style="16" customWidth="1"/>
    <col min="15" max="28" width="7.85546875" style="16" customWidth="1"/>
    <col min="29" max="29" width="14.7109375" style="16" customWidth="1"/>
    <col min="30" max="30" width="16.140625" style="16" customWidth="1"/>
    <col min="31" max="1026" width="8.42578125" style="18" customWidth="1"/>
  </cols>
  <sheetData>
    <row r="1" spans="1:30" s="19" customFormat="1" ht="15.75" customHeight="1" x14ac:dyDescent="0.25">
      <c r="Z1" s="8" t="s">
        <v>0</v>
      </c>
      <c r="AA1" s="8"/>
      <c r="AB1" s="8"/>
      <c r="AC1" s="8"/>
      <c r="AD1" s="8"/>
    </row>
    <row r="2" spans="1:30" s="19" customFormat="1" ht="15.75" customHeight="1" x14ac:dyDescent="0.25">
      <c r="Z2" s="8" t="s">
        <v>1</v>
      </c>
      <c r="AA2" s="8"/>
      <c r="AB2" s="8"/>
      <c r="AC2" s="8"/>
      <c r="AD2" s="8"/>
    </row>
    <row r="3" spans="1:30" s="19" customFormat="1" ht="15.75" customHeight="1" x14ac:dyDescent="0.25">
      <c r="Z3" s="8" t="s">
        <v>2</v>
      </c>
      <c r="AA3" s="8"/>
      <c r="AB3" s="8"/>
      <c r="AC3" s="8"/>
      <c r="AD3" s="8"/>
    </row>
    <row r="4" spans="1:30" s="19" customFormat="1" ht="15.75" x14ac:dyDescent="0.25"/>
    <row r="5" spans="1:30" s="19" customFormat="1" ht="15.75"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s="19" customFormat="1" ht="15.75" x14ac:dyDescent="0.25"/>
    <row r="7" spans="1:30" s="19" customFormat="1" ht="17.2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row>
    <row r="8" spans="1:30" s="19" customFormat="1" ht="15.75" x14ac:dyDescent="0.25"/>
    <row r="9" spans="1:30" s="19" customFormat="1" ht="15.75" customHeight="1" x14ac:dyDescent="0.25">
      <c r="A9" s="12" t="s">
        <v>315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row>
    <row r="10" spans="1:30" s="19"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s="19" customFormat="1" ht="15.75" x14ac:dyDescent="0.25"/>
    <row r="12" spans="1:30" s="19" customFormat="1" ht="15.75" x14ac:dyDescent="0.25">
      <c r="A12" s="12" t="str">
        <f>'1. паспорт местоположение'!A12:C12</f>
        <v>L_0200001105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row>
    <row r="13" spans="1:30" s="19"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s="19" customFormat="1" ht="15.75" x14ac:dyDescent="0.25"/>
    <row r="15" spans="1:30" s="19" customFormat="1" ht="15.75" x14ac:dyDescent="0.25">
      <c r="A15" s="12" t="str">
        <f>'1. паспорт местоположение'!A15:C15</f>
        <v>Реконструкция ВЛ-0,4кВ от ТП-1105, ул. Мраморная,  (ДНТ «Березка») ул. Драгоценная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row>
    <row r="16" spans="1:30" s="19"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row>
    <row r="17" spans="1:30" s="19" customFormat="1" ht="15.75" x14ac:dyDescent="0.25"/>
    <row r="18" spans="1:30" ht="17.25" customHeight="1" x14ac:dyDescent="0.2">
      <c r="A18" s="219" t="s">
        <v>316</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row>
    <row r="19" spans="1:30" ht="15.75" customHeight="1" x14ac:dyDescent="0.2">
      <c r="A19" s="5" t="s">
        <v>317</v>
      </c>
      <c r="B19" s="5" t="s">
        <v>318</v>
      </c>
      <c r="C19" s="5" t="s">
        <v>319</v>
      </c>
      <c r="D19" s="5"/>
      <c r="E19" s="5" t="s">
        <v>320</v>
      </c>
      <c r="F19" s="5"/>
      <c r="G19" s="5" t="s">
        <v>321</v>
      </c>
      <c r="H19" s="5" t="s">
        <v>322</v>
      </c>
      <c r="I19" s="5"/>
      <c r="J19" s="5"/>
      <c r="K19" s="5"/>
      <c r="L19" s="5" t="s">
        <v>323</v>
      </c>
      <c r="M19" s="5"/>
      <c r="N19" s="5"/>
      <c r="O19" s="5"/>
      <c r="P19" s="5"/>
      <c r="Q19" s="5" t="s">
        <v>324</v>
      </c>
      <c r="R19" s="5"/>
      <c r="S19" s="5"/>
      <c r="T19" s="5"/>
      <c r="U19" s="5" t="s">
        <v>325</v>
      </c>
      <c r="V19" s="5"/>
      <c r="W19" s="5"/>
      <c r="X19" s="5"/>
      <c r="Y19" s="5" t="s">
        <v>326</v>
      </c>
      <c r="Z19" s="5"/>
      <c r="AA19" s="5"/>
      <c r="AB19" s="5"/>
      <c r="AC19" s="5" t="s">
        <v>327</v>
      </c>
      <c r="AD19" s="5"/>
    </row>
    <row r="20" spans="1:30" ht="51.75" customHeight="1" x14ac:dyDescent="0.2">
      <c r="A20" s="5"/>
      <c r="B20" s="5"/>
      <c r="C20" s="5"/>
      <c r="D20" s="5"/>
      <c r="E20" s="5"/>
      <c r="F20" s="5"/>
      <c r="G20" s="5"/>
      <c r="H20" s="5" t="s">
        <v>254</v>
      </c>
      <c r="I20" s="5"/>
      <c r="J20" s="5" t="s">
        <v>328</v>
      </c>
      <c r="K20" s="5"/>
      <c r="L20" s="5" t="s">
        <v>254</v>
      </c>
      <c r="M20" s="5"/>
      <c r="N20" s="5" t="s">
        <v>329</v>
      </c>
      <c r="O20" s="5"/>
      <c r="P20" s="5"/>
      <c r="Q20" s="5" t="s">
        <v>254</v>
      </c>
      <c r="R20" s="5"/>
      <c r="S20" s="220" t="s">
        <v>330</v>
      </c>
      <c r="T20" s="220"/>
      <c r="U20" s="5" t="s">
        <v>254</v>
      </c>
      <c r="V20" s="5"/>
      <c r="W20" s="220" t="s">
        <v>330</v>
      </c>
      <c r="X20" s="220"/>
      <c r="Y20" s="5" t="s">
        <v>254</v>
      </c>
      <c r="Z20" s="5"/>
      <c r="AA20" s="220" t="s">
        <v>330</v>
      </c>
      <c r="AB20" s="220"/>
      <c r="AC20" s="5"/>
      <c r="AD20" s="5"/>
    </row>
    <row r="21" spans="1:30" ht="58.5" x14ac:dyDescent="0.2">
      <c r="A21" s="5"/>
      <c r="B21" s="5"/>
      <c r="C21" s="28" t="s">
        <v>254</v>
      </c>
      <c r="D21" s="28" t="s">
        <v>329</v>
      </c>
      <c r="E21" s="39" t="s">
        <v>331</v>
      </c>
      <c r="F21" s="39" t="s">
        <v>332</v>
      </c>
      <c r="G21" s="5"/>
      <c r="H21" s="144" t="s">
        <v>333</v>
      </c>
      <c r="I21" s="144" t="s">
        <v>334</v>
      </c>
      <c r="J21" s="144" t="s">
        <v>333</v>
      </c>
      <c r="K21" s="144" t="s">
        <v>334</v>
      </c>
      <c r="L21" s="144" t="s">
        <v>333</v>
      </c>
      <c r="M21" s="144" t="s">
        <v>335</v>
      </c>
      <c r="N21" s="144" t="s">
        <v>333</v>
      </c>
      <c r="O21" s="144" t="s">
        <v>336</v>
      </c>
      <c r="P21" s="144" t="s">
        <v>335</v>
      </c>
      <c r="Q21" s="144" t="s">
        <v>333</v>
      </c>
      <c r="R21" s="144" t="s">
        <v>334</v>
      </c>
      <c r="S21" s="144" t="s">
        <v>333</v>
      </c>
      <c r="T21" s="144" t="s">
        <v>334</v>
      </c>
      <c r="U21" s="144" t="s">
        <v>333</v>
      </c>
      <c r="V21" s="144" t="s">
        <v>334</v>
      </c>
      <c r="W21" s="144" t="s">
        <v>333</v>
      </c>
      <c r="X21" s="144" t="s">
        <v>334</v>
      </c>
      <c r="Y21" s="144" t="s">
        <v>333</v>
      </c>
      <c r="Z21" s="144" t="s">
        <v>334</v>
      </c>
      <c r="AA21" s="144" t="s">
        <v>333</v>
      </c>
      <c r="AB21" s="144" t="s">
        <v>334</v>
      </c>
      <c r="AC21" s="28" t="s">
        <v>254</v>
      </c>
      <c r="AD21" s="28" t="s">
        <v>329</v>
      </c>
    </row>
    <row r="22" spans="1:30" s="30" customFormat="1" ht="11.25" x14ac:dyDescent="0.2">
      <c r="A22" s="29">
        <v>1</v>
      </c>
      <c r="B22" s="29">
        <v>2</v>
      </c>
      <c r="C22" s="29">
        <v>3</v>
      </c>
      <c r="D22" s="29">
        <v>4</v>
      </c>
      <c r="E22" s="29">
        <v>5</v>
      </c>
      <c r="F22" s="29">
        <v>6</v>
      </c>
      <c r="G22" s="29">
        <v>7</v>
      </c>
      <c r="H22" s="29">
        <v>8</v>
      </c>
      <c r="I22" s="29">
        <v>9</v>
      </c>
      <c r="J22" s="29">
        <v>10</v>
      </c>
      <c r="K22" s="29">
        <v>11</v>
      </c>
      <c r="L22" s="29">
        <v>12</v>
      </c>
      <c r="M22" s="29">
        <v>13</v>
      </c>
      <c r="N22" s="29">
        <v>14</v>
      </c>
      <c r="O22" s="29">
        <v>15</v>
      </c>
      <c r="P22" s="145" t="s">
        <v>337</v>
      </c>
      <c r="Q22" s="29">
        <v>16</v>
      </c>
      <c r="R22" s="29">
        <v>17</v>
      </c>
      <c r="S22" s="29">
        <v>18</v>
      </c>
      <c r="T22" s="29">
        <v>19</v>
      </c>
      <c r="U22" s="29">
        <v>20</v>
      </c>
      <c r="V22" s="29">
        <v>21</v>
      </c>
      <c r="W22" s="29">
        <v>22</v>
      </c>
      <c r="X22" s="29">
        <v>23</v>
      </c>
      <c r="Y22" s="29">
        <v>24</v>
      </c>
      <c r="Z22" s="29">
        <v>25</v>
      </c>
      <c r="AA22" s="29">
        <v>26</v>
      </c>
      <c r="AB22" s="29">
        <v>27</v>
      </c>
      <c r="AC22" s="29">
        <v>28</v>
      </c>
      <c r="AD22" s="29">
        <v>29</v>
      </c>
    </row>
    <row r="23" spans="1:30" ht="63" x14ac:dyDescent="0.2">
      <c r="A23" s="42">
        <v>1</v>
      </c>
      <c r="B23" s="25" t="s">
        <v>338</v>
      </c>
      <c r="C23" s="146">
        <f>C26</f>
        <v>15.224</v>
      </c>
      <c r="D23" s="146">
        <f>D26</f>
        <v>14.151999999999999</v>
      </c>
      <c r="E23" s="146">
        <f>E26</f>
        <v>15.224</v>
      </c>
      <c r="F23" s="146">
        <f>C23-D23</f>
        <v>1.072000000000001</v>
      </c>
      <c r="G23" s="146" t="s">
        <v>35</v>
      </c>
      <c r="H23" s="146" t="s">
        <v>35</v>
      </c>
      <c r="I23" s="146" t="s">
        <v>35</v>
      </c>
      <c r="J23" s="146" t="s">
        <v>35</v>
      </c>
      <c r="K23" s="146" t="s">
        <v>35</v>
      </c>
      <c r="L23" s="146">
        <f>L26</f>
        <v>15.224</v>
      </c>
      <c r="M23" s="146">
        <f>M26</f>
        <v>15.224</v>
      </c>
      <c r="N23" s="146">
        <f>SUM(O23:P23)</f>
        <v>14.151999999999999</v>
      </c>
      <c r="O23" s="146">
        <f>O26</f>
        <v>0.47799999999999998</v>
      </c>
      <c r="P23" s="146">
        <f>P26</f>
        <v>13.673999999999999</v>
      </c>
      <c r="Q23" s="146" t="s">
        <v>35</v>
      </c>
      <c r="R23" s="146" t="s">
        <v>35</v>
      </c>
      <c r="S23" s="146" t="s">
        <v>35</v>
      </c>
      <c r="T23" s="146" t="s">
        <v>35</v>
      </c>
      <c r="U23" s="146" t="s">
        <v>35</v>
      </c>
      <c r="V23" s="146" t="s">
        <v>35</v>
      </c>
      <c r="W23" s="146" t="s">
        <v>35</v>
      </c>
      <c r="X23" s="146" t="s">
        <v>35</v>
      </c>
      <c r="Y23" s="146" t="s">
        <v>35</v>
      </c>
      <c r="Z23" s="146" t="s">
        <v>35</v>
      </c>
      <c r="AA23" s="146" t="s">
        <v>35</v>
      </c>
      <c r="AB23" s="146" t="s">
        <v>35</v>
      </c>
      <c r="AC23" s="146">
        <f>AC26</f>
        <v>15.224</v>
      </c>
      <c r="AD23" s="147">
        <f>AD26</f>
        <v>14.151999999999999</v>
      </c>
    </row>
    <row r="24" spans="1:30" ht="15.75" x14ac:dyDescent="0.2">
      <c r="A24" s="148" t="s">
        <v>339</v>
      </c>
      <c r="B24" s="149" t="s">
        <v>340</v>
      </c>
      <c r="C24" s="150" t="s">
        <v>35</v>
      </c>
      <c r="D24" s="40" t="s">
        <v>35</v>
      </c>
      <c r="E24" s="150" t="s">
        <v>35</v>
      </c>
      <c r="F24" s="40" t="s">
        <v>35</v>
      </c>
      <c r="G24" s="150" t="s">
        <v>35</v>
      </c>
      <c r="H24" s="40" t="s">
        <v>35</v>
      </c>
      <c r="I24" s="150" t="s">
        <v>35</v>
      </c>
      <c r="J24" s="150" t="s">
        <v>35</v>
      </c>
      <c r="K24" s="150" t="s">
        <v>35</v>
      </c>
      <c r="L24" s="150" t="s">
        <v>35</v>
      </c>
      <c r="M24" s="150" t="s">
        <v>35</v>
      </c>
      <c r="N24" s="150" t="s">
        <v>35</v>
      </c>
      <c r="O24" s="150" t="s">
        <v>35</v>
      </c>
      <c r="P24" s="150"/>
      <c r="Q24" s="40" t="s">
        <v>35</v>
      </c>
      <c r="R24" s="150" t="s">
        <v>35</v>
      </c>
      <c r="S24" s="40" t="s">
        <v>35</v>
      </c>
      <c r="T24" s="150" t="s">
        <v>35</v>
      </c>
      <c r="U24" s="40" t="s">
        <v>35</v>
      </c>
      <c r="V24" s="150" t="s">
        <v>35</v>
      </c>
      <c r="W24" s="40" t="s">
        <v>35</v>
      </c>
      <c r="X24" s="150" t="s">
        <v>35</v>
      </c>
      <c r="Y24" s="150" t="s">
        <v>35</v>
      </c>
      <c r="Z24" s="150" t="s">
        <v>35</v>
      </c>
      <c r="AA24" s="150" t="s">
        <v>35</v>
      </c>
      <c r="AB24" s="150" t="s">
        <v>35</v>
      </c>
      <c r="AC24" s="150" t="s">
        <v>35</v>
      </c>
      <c r="AD24" s="148" t="s">
        <v>35</v>
      </c>
    </row>
    <row r="25" spans="1:30" ht="31.5" x14ac:dyDescent="0.2">
      <c r="A25" s="148" t="s">
        <v>341</v>
      </c>
      <c r="B25" s="149" t="s">
        <v>342</v>
      </c>
      <c r="C25" s="150" t="s">
        <v>35</v>
      </c>
      <c r="D25" s="40" t="s">
        <v>35</v>
      </c>
      <c r="E25" s="150" t="s">
        <v>35</v>
      </c>
      <c r="F25" s="40" t="s">
        <v>35</v>
      </c>
      <c r="G25" s="150" t="s">
        <v>35</v>
      </c>
      <c r="H25" s="40" t="s">
        <v>35</v>
      </c>
      <c r="I25" s="150" t="s">
        <v>35</v>
      </c>
      <c r="J25" s="150" t="s">
        <v>35</v>
      </c>
      <c r="K25" s="150" t="s">
        <v>35</v>
      </c>
      <c r="L25" s="150" t="s">
        <v>35</v>
      </c>
      <c r="M25" s="150" t="s">
        <v>35</v>
      </c>
      <c r="N25" s="150" t="s">
        <v>35</v>
      </c>
      <c r="O25" s="150" t="s">
        <v>35</v>
      </c>
      <c r="P25" s="150"/>
      <c r="Q25" s="40" t="s">
        <v>35</v>
      </c>
      <c r="R25" s="150" t="s">
        <v>35</v>
      </c>
      <c r="S25" s="40" t="s">
        <v>35</v>
      </c>
      <c r="T25" s="150" t="s">
        <v>35</v>
      </c>
      <c r="U25" s="40" t="s">
        <v>35</v>
      </c>
      <c r="V25" s="150" t="s">
        <v>35</v>
      </c>
      <c r="W25" s="40" t="s">
        <v>35</v>
      </c>
      <c r="X25" s="150" t="s">
        <v>35</v>
      </c>
      <c r="Y25" s="150" t="s">
        <v>35</v>
      </c>
      <c r="Z25" s="150" t="s">
        <v>35</v>
      </c>
      <c r="AA25" s="150" t="s">
        <v>35</v>
      </c>
      <c r="AB25" s="150" t="s">
        <v>35</v>
      </c>
      <c r="AC25" s="150" t="s">
        <v>35</v>
      </c>
      <c r="AD25" s="148" t="s">
        <v>35</v>
      </c>
    </row>
    <row r="26" spans="1:30" ht="47.25" x14ac:dyDescent="0.2">
      <c r="A26" s="148" t="s">
        <v>343</v>
      </c>
      <c r="B26" s="149" t="s">
        <v>344</v>
      </c>
      <c r="C26" s="150">
        <v>15.224</v>
      </c>
      <c r="D26" s="40">
        <v>14.151999999999999</v>
      </c>
      <c r="E26" s="150">
        <f>C26</f>
        <v>15.224</v>
      </c>
      <c r="F26" s="40">
        <f>C26-D26</f>
        <v>1.072000000000001</v>
      </c>
      <c r="G26" s="150" t="s">
        <v>35</v>
      </c>
      <c r="H26" s="40" t="s">
        <v>35</v>
      </c>
      <c r="I26" s="150" t="s">
        <v>35</v>
      </c>
      <c r="J26" s="150" t="s">
        <v>35</v>
      </c>
      <c r="K26" s="150" t="s">
        <v>35</v>
      </c>
      <c r="L26" s="150">
        <f>M26</f>
        <v>15.224</v>
      </c>
      <c r="M26" s="150">
        <v>15.224</v>
      </c>
      <c r="N26" s="150">
        <f>SUM(O26:P26)</f>
        <v>14.151999999999999</v>
      </c>
      <c r="O26" s="150">
        <v>0.47799999999999998</v>
      </c>
      <c r="P26" s="150">
        <v>13.673999999999999</v>
      </c>
      <c r="Q26" s="40" t="s">
        <v>35</v>
      </c>
      <c r="R26" s="150" t="s">
        <v>35</v>
      </c>
      <c r="S26" s="40" t="s">
        <v>35</v>
      </c>
      <c r="T26" s="150" t="s">
        <v>35</v>
      </c>
      <c r="U26" s="40" t="s">
        <v>35</v>
      </c>
      <c r="V26" s="150" t="s">
        <v>35</v>
      </c>
      <c r="W26" s="40" t="s">
        <v>35</v>
      </c>
      <c r="X26" s="150" t="s">
        <v>35</v>
      </c>
      <c r="Y26" s="150" t="s">
        <v>35</v>
      </c>
      <c r="Z26" s="150" t="s">
        <v>35</v>
      </c>
      <c r="AA26" s="150" t="s">
        <v>35</v>
      </c>
      <c r="AB26" s="150" t="s">
        <v>35</v>
      </c>
      <c r="AC26" s="150">
        <f>C26</f>
        <v>15.224</v>
      </c>
      <c r="AD26" s="150">
        <f>D26</f>
        <v>14.151999999999999</v>
      </c>
    </row>
    <row r="27" spans="1:30" ht="31.5" x14ac:dyDescent="0.2">
      <c r="A27" s="148" t="s">
        <v>345</v>
      </c>
      <c r="B27" s="149" t="s">
        <v>346</v>
      </c>
      <c r="C27" s="150" t="s">
        <v>35</v>
      </c>
      <c r="D27" s="40" t="s">
        <v>35</v>
      </c>
      <c r="E27" s="150" t="s">
        <v>35</v>
      </c>
      <c r="F27" s="40" t="s">
        <v>35</v>
      </c>
      <c r="G27" s="150" t="s">
        <v>35</v>
      </c>
      <c r="H27" s="40" t="s">
        <v>35</v>
      </c>
      <c r="I27" s="150" t="s">
        <v>35</v>
      </c>
      <c r="J27" s="150" t="s">
        <v>35</v>
      </c>
      <c r="K27" s="150" t="s">
        <v>35</v>
      </c>
      <c r="L27" s="150" t="s">
        <v>35</v>
      </c>
      <c r="M27" s="150" t="s">
        <v>35</v>
      </c>
      <c r="N27" s="150" t="s">
        <v>35</v>
      </c>
      <c r="O27" s="150" t="s">
        <v>35</v>
      </c>
      <c r="P27" s="150"/>
      <c r="Q27" s="40" t="s">
        <v>35</v>
      </c>
      <c r="R27" s="150" t="s">
        <v>35</v>
      </c>
      <c r="S27" s="40" t="s">
        <v>35</v>
      </c>
      <c r="T27" s="150" t="s">
        <v>35</v>
      </c>
      <c r="U27" s="40" t="s">
        <v>35</v>
      </c>
      <c r="V27" s="150" t="s">
        <v>35</v>
      </c>
      <c r="W27" s="40" t="s">
        <v>35</v>
      </c>
      <c r="X27" s="150" t="s">
        <v>35</v>
      </c>
      <c r="Y27" s="150" t="s">
        <v>35</v>
      </c>
      <c r="Z27" s="150" t="s">
        <v>35</v>
      </c>
      <c r="AA27" s="150" t="s">
        <v>35</v>
      </c>
      <c r="AB27" s="150" t="s">
        <v>35</v>
      </c>
      <c r="AC27" s="150" t="s">
        <v>35</v>
      </c>
      <c r="AD27" s="148" t="s">
        <v>35</v>
      </c>
    </row>
    <row r="28" spans="1:30" ht="15.75" x14ac:dyDescent="0.2">
      <c r="A28" s="148" t="s">
        <v>347</v>
      </c>
      <c r="B28" s="149" t="s">
        <v>348</v>
      </c>
      <c r="C28" s="150" t="s">
        <v>35</v>
      </c>
      <c r="D28" s="40" t="s">
        <v>35</v>
      </c>
      <c r="E28" s="150" t="s">
        <v>35</v>
      </c>
      <c r="F28" s="40" t="s">
        <v>35</v>
      </c>
      <c r="G28" s="150" t="s">
        <v>35</v>
      </c>
      <c r="H28" s="40" t="s">
        <v>35</v>
      </c>
      <c r="I28" s="150" t="s">
        <v>35</v>
      </c>
      <c r="J28" s="150" t="s">
        <v>35</v>
      </c>
      <c r="K28" s="150" t="s">
        <v>35</v>
      </c>
      <c r="L28" s="150" t="s">
        <v>35</v>
      </c>
      <c r="M28" s="150" t="s">
        <v>35</v>
      </c>
      <c r="N28" s="150" t="s">
        <v>35</v>
      </c>
      <c r="O28" s="150" t="s">
        <v>35</v>
      </c>
      <c r="P28" s="150"/>
      <c r="Q28" s="40" t="s">
        <v>35</v>
      </c>
      <c r="R28" s="150" t="s">
        <v>35</v>
      </c>
      <c r="S28" s="40" t="s">
        <v>35</v>
      </c>
      <c r="T28" s="150" t="s">
        <v>35</v>
      </c>
      <c r="U28" s="40" t="s">
        <v>35</v>
      </c>
      <c r="V28" s="150" t="s">
        <v>35</v>
      </c>
      <c r="W28" s="40" t="s">
        <v>35</v>
      </c>
      <c r="X28" s="150" t="s">
        <v>35</v>
      </c>
      <c r="Y28" s="150" t="s">
        <v>35</v>
      </c>
      <c r="Z28" s="150" t="s">
        <v>35</v>
      </c>
      <c r="AA28" s="150" t="s">
        <v>35</v>
      </c>
      <c r="AB28" s="150" t="s">
        <v>35</v>
      </c>
      <c r="AC28" s="150" t="s">
        <v>35</v>
      </c>
      <c r="AD28" s="148" t="s">
        <v>35</v>
      </c>
    </row>
    <row r="29" spans="1:30" ht="63" x14ac:dyDescent="0.2">
      <c r="A29" s="42">
        <v>2</v>
      </c>
      <c r="B29" s="25" t="s">
        <v>349</v>
      </c>
      <c r="C29" s="146">
        <f>C30+C31</f>
        <v>12.687000000000001</v>
      </c>
      <c r="D29" s="146">
        <f>SUM(D30:D33)</f>
        <v>11.821</v>
      </c>
      <c r="E29" s="146">
        <f>E30+E31</f>
        <v>12.687000000000001</v>
      </c>
      <c r="F29" s="146">
        <f>F30+F31</f>
        <v>0.86599999999999966</v>
      </c>
      <c r="G29" s="146" t="s">
        <v>35</v>
      </c>
      <c r="H29" s="146" t="s">
        <v>35</v>
      </c>
      <c r="I29" s="146" t="s">
        <v>35</v>
      </c>
      <c r="J29" s="146" t="s">
        <v>35</v>
      </c>
      <c r="K29" s="146" t="s">
        <v>35</v>
      </c>
      <c r="L29" s="146">
        <f>L30+L31</f>
        <v>12.687000000000001</v>
      </c>
      <c r="M29" s="146">
        <f>M30+M31</f>
        <v>12.687000000000001</v>
      </c>
      <c r="N29" s="146">
        <f>SUM(N30:N33)</f>
        <v>11.821</v>
      </c>
      <c r="O29" s="146">
        <f>SUM(O30:O33)</f>
        <v>0.39800000000000002</v>
      </c>
      <c r="P29" s="146">
        <f>SUM(P30:P33)</f>
        <v>11.423</v>
      </c>
      <c r="Q29" s="146" t="s">
        <v>35</v>
      </c>
      <c r="R29" s="146" t="s">
        <v>35</v>
      </c>
      <c r="S29" s="146" t="s">
        <v>35</v>
      </c>
      <c r="T29" s="146" t="s">
        <v>35</v>
      </c>
      <c r="U29" s="146" t="s">
        <v>35</v>
      </c>
      <c r="V29" s="146" t="s">
        <v>35</v>
      </c>
      <c r="W29" s="146" t="s">
        <v>35</v>
      </c>
      <c r="X29" s="146" t="s">
        <v>35</v>
      </c>
      <c r="Y29" s="146" t="s">
        <v>35</v>
      </c>
      <c r="Z29" s="146" t="s">
        <v>35</v>
      </c>
      <c r="AA29" s="146" t="s">
        <v>35</v>
      </c>
      <c r="AB29" s="146" t="s">
        <v>35</v>
      </c>
      <c r="AC29" s="146">
        <f>AC30+AC31</f>
        <v>12.687000000000001</v>
      </c>
      <c r="AD29" s="147">
        <f>SUM(AD30:AD33)</f>
        <v>11.821</v>
      </c>
    </row>
    <row r="30" spans="1:30" ht="15.75" x14ac:dyDescent="0.2">
      <c r="A30" s="148" t="s">
        <v>350</v>
      </c>
      <c r="B30" s="149" t="s">
        <v>351</v>
      </c>
      <c r="C30" s="150">
        <v>0.20699999999999999</v>
      </c>
      <c r="D30" s="151">
        <v>0.16200000000000001</v>
      </c>
      <c r="E30" s="150">
        <f>C30</f>
        <v>0.20699999999999999</v>
      </c>
      <c r="F30" s="40">
        <f>C30-D30</f>
        <v>4.4999999999999984E-2</v>
      </c>
      <c r="G30" s="150" t="s">
        <v>35</v>
      </c>
      <c r="H30" s="40" t="s">
        <v>35</v>
      </c>
      <c r="I30" s="150" t="s">
        <v>35</v>
      </c>
      <c r="J30" s="150" t="s">
        <v>35</v>
      </c>
      <c r="K30" s="150" t="s">
        <v>35</v>
      </c>
      <c r="L30" s="150">
        <f>E30</f>
        <v>0.20699999999999999</v>
      </c>
      <c r="M30" s="150">
        <f>L30</f>
        <v>0.20699999999999999</v>
      </c>
      <c r="N30" s="150">
        <f>SUM(O30:P30)</f>
        <v>0.16200000000000001</v>
      </c>
      <c r="O30" s="150">
        <v>0.16200000000000001</v>
      </c>
      <c r="P30" s="150" t="s">
        <v>35</v>
      </c>
      <c r="Q30" s="40" t="s">
        <v>35</v>
      </c>
      <c r="R30" s="150" t="s">
        <v>35</v>
      </c>
      <c r="S30" s="40" t="s">
        <v>35</v>
      </c>
      <c r="T30" s="150" t="s">
        <v>35</v>
      </c>
      <c r="U30" s="40" t="s">
        <v>35</v>
      </c>
      <c r="V30" s="150" t="s">
        <v>35</v>
      </c>
      <c r="W30" s="40" t="s">
        <v>35</v>
      </c>
      <c r="X30" s="150" t="s">
        <v>35</v>
      </c>
      <c r="Y30" s="150" t="s">
        <v>35</v>
      </c>
      <c r="Z30" s="150" t="s">
        <v>35</v>
      </c>
      <c r="AA30" s="150" t="s">
        <v>35</v>
      </c>
      <c r="AB30" s="150" t="s">
        <v>35</v>
      </c>
      <c r="AC30" s="150">
        <f>L30</f>
        <v>0.20699999999999999</v>
      </c>
      <c r="AD30" s="150">
        <f>D30</f>
        <v>0.16200000000000001</v>
      </c>
    </row>
    <row r="31" spans="1:30" ht="31.5" x14ac:dyDescent="0.2">
      <c r="A31" s="148" t="s">
        <v>352</v>
      </c>
      <c r="B31" s="149" t="s">
        <v>353</v>
      </c>
      <c r="C31" s="150">
        <v>12.48</v>
      </c>
      <c r="D31" s="151">
        <v>1.621</v>
      </c>
      <c r="E31" s="150">
        <f>C31</f>
        <v>12.48</v>
      </c>
      <c r="F31" s="150">
        <f>C31-D31-D32-D33</f>
        <v>0.82099999999999962</v>
      </c>
      <c r="G31" s="150" t="s">
        <v>35</v>
      </c>
      <c r="H31" s="40" t="s">
        <v>35</v>
      </c>
      <c r="I31" s="150" t="s">
        <v>35</v>
      </c>
      <c r="J31" s="150" t="s">
        <v>35</v>
      </c>
      <c r="K31" s="150" t="s">
        <v>35</v>
      </c>
      <c r="L31" s="150">
        <f>E31</f>
        <v>12.48</v>
      </c>
      <c r="M31" s="150">
        <f>L31</f>
        <v>12.48</v>
      </c>
      <c r="N31" s="150">
        <f>SUM(O31:P31)</f>
        <v>1.621</v>
      </c>
      <c r="O31" s="150">
        <v>0.21299999999999999</v>
      </c>
      <c r="P31" s="150">
        <v>1.4079999999999999</v>
      </c>
      <c r="Q31" s="40" t="s">
        <v>35</v>
      </c>
      <c r="R31" s="150" t="s">
        <v>35</v>
      </c>
      <c r="S31" s="40" t="s">
        <v>35</v>
      </c>
      <c r="T31" s="150" t="s">
        <v>35</v>
      </c>
      <c r="U31" s="40" t="s">
        <v>35</v>
      </c>
      <c r="V31" s="150" t="s">
        <v>35</v>
      </c>
      <c r="W31" s="40" t="s">
        <v>35</v>
      </c>
      <c r="X31" s="150" t="s">
        <v>35</v>
      </c>
      <c r="Y31" s="150" t="s">
        <v>35</v>
      </c>
      <c r="Z31" s="150" t="s">
        <v>35</v>
      </c>
      <c r="AA31" s="150" t="s">
        <v>35</v>
      </c>
      <c r="AB31" s="150" t="s">
        <v>35</v>
      </c>
      <c r="AC31" s="150">
        <f>L31</f>
        <v>12.48</v>
      </c>
      <c r="AD31" s="150">
        <f>D31</f>
        <v>1.621</v>
      </c>
    </row>
    <row r="32" spans="1:30" ht="15.75" x14ac:dyDescent="0.2">
      <c r="A32" s="148" t="s">
        <v>354</v>
      </c>
      <c r="B32" s="149" t="s">
        <v>355</v>
      </c>
      <c r="C32" s="40" t="s">
        <v>35</v>
      </c>
      <c r="D32" s="151">
        <v>9.8680000000000003</v>
      </c>
      <c r="E32" s="40" t="s">
        <v>35</v>
      </c>
      <c r="F32" s="150" t="s">
        <v>35</v>
      </c>
      <c r="G32" s="150" t="s">
        <v>35</v>
      </c>
      <c r="H32" s="40" t="s">
        <v>35</v>
      </c>
      <c r="I32" s="150" t="s">
        <v>35</v>
      </c>
      <c r="J32" s="150" t="s">
        <v>35</v>
      </c>
      <c r="K32" s="150" t="s">
        <v>35</v>
      </c>
      <c r="L32" s="150" t="s">
        <v>35</v>
      </c>
      <c r="M32" s="150" t="s">
        <v>35</v>
      </c>
      <c r="N32" s="150">
        <f>SUM(O32:P32)</f>
        <v>9.8680000000000003</v>
      </c>
      <c r="O32" s="150">
        <v>2.3E-2</v>
      </c>
      <c r="P32" s="150">
        <v>9.8450000000000006</v>
      </c>
      <c r="Q32" s="40" t="s">
        <v>35</v>
      </c>
      <c r="R32" s="150" t="s">
        <v>35</v>
      </c>
      <c r="S32" s="40" t="s">
        <v>35</v>
      </c>
      <c r="T32" s="150" t="s">
        <v>35</v>
      </c>
      <c r="U32" s="40" t="s">
        <v>35</v>
      </c>
      <c r="V32" s="150" t="s">
        <v>35</v>
      </c>
      <c r="W32" s="40" t="s">
        <v>35</v>
      </c>
      <c r="X32" s="150" t="s">
        <v>35</v>
      </c>
      <c r="Y32" s="150" t="s">
        <v>35</v>
      </c>
      <c r="Z32" s="150" t="s">
        <v>35</v>
      </c>
      <c r="AA32" s="150" t="s">
        <v>35</v>
      </c>
      <c r="AB32" s="150" t="s">
        <v>35</v>
      </c>
      <c r="AC32" s="150" t="s">
        <v>35</v>
      </c>
      <c r="AD32" s="150">
        <f>D32</f>
        <v>9.8680000000000003</v>
      </c>
    </row>
    <row r="33" spans="1:30" ht="15.75" x14ac:dyDescent="0.2">
      <c r="A33" s="148" t="s">
        <v>356</v>
      </c>
      <c r="B33" s="149" t="s">
        <v>357</v>
      </c>
      <c r="C33" s="40" t="s">
        <v>35</v>
      </c>
      <c r="D33" s="151">
        <v>0.17</v>
      </c>
      <c r="E33" s="40" t="s">
        <v>35</v>
      </c>
      <c r="F33" s="40" t="s">
        <v>35</v>
      </c>
      <c r="G33" s="150" t="s">
        <v>35</v>
      </c>
      <c r="H33" s="40" t="s">
        <v>35</v>
      </c>
      <c r="I33" s="150" t="s">
        <v>35</v>
      </c>
      <c r="J33" s="150" t="s">
        <v>35</v>
      </c>
      <c r="K33" s="150" t="s">
        <v>35</v>
      </c>
      <c r="L33" s="150" t="s">
        <v>35</v>
      </c>
      <c r="M33" s="150" t="s">
        <v>35</v>
      </c>
      <c r="N33" s="150">
        <f>SUM(O33:P33)</f>
        <v>0.17</v>
      </c>
      <c r="O33" s="150" t="s">
        <v>35</v>
      </c>
      <c r="P33" s="150">
        <v>0.17</v>
      </c>
      <c r="Q33" s="40" t="s">
        <v>35</v>
      </c>
      <c r="R33" s="150" t="s">
        <v>35</v>
      </c>
      <c r="S33" s="40" t="s">
        <v>35</v>
      </c>
      <c r="T33" s="150" t="s">
        <v>35</v>
      </c>
      <c r="U33" s="40" t="s">
        <v>35</v>
      </c>
      <c r="V33" s="150" t="s">
        <v>35</v>
      </c>
      <c r="W33" s="40" t="s">
        <v>35</v>
      </c>
      <c r="X33" s="150" t="s">
        <v>35</v>
      </c>
      <c r="Y33" s="150" t="s">
        <v>35</v>
      </c>
      <c r="Z33" s="150" t="s">
        <v>35</v>
      </c>
      <c r="AA33" s="150" t="s">
        <v>35</v>
      </c>
      <c r="AB33" s="150" t="s">
        <v>35</v>
      </c>
      <c r="AC33" s="150" t="s">
        <v>35</v>
      </c>
      <c r="AD33" s="150">
        <f>D33</f>
        <v>0.17</v>
      </c>
    </row>
    <row r="34" spans="1:30" ht="31.5" x14ac:dyDescent="0.2">
      <c r="A34" s="42">
        <v>3</v>
      </c>
      <c r="B34" s="25" t="s">
        <v>358</v>
      </c>
      <c r="C34" s="40" t="s">
        <v>35</v>
      </c>
      <c r="D34" s="40" t="s">
        <v>35</v>
      </c>
      <c r="E34" s="40" t="s">
        <v>35</v>
      </c>
      <c r="F34" s="40" t="s">
        <v>35</v>
      </c>
      <c r="G34" s="40" t="s">
        <v>35</v>
      </c>
      <c r="H34" s="40" t="s">
        <v>35</v>
      </c>
      <c r="I34" s="40" t="s">
        <v>35</v>
      </c>
      <c r="J34" s="40" t="s">
        <v>35</v>
      </c>
      <c r="K34" s="40" t="s">
        <v>35</v>
      </c>
      <c r="L34" s="40" t="s">
        <v>35</v>
      </c>
      <c r="M34" s="40" t="s">
        <v>35</v>
      </c>
      <c r="N34" s="40" t="s">
        <v>35</v>
      </c>
      <c r="O34" s="40" t="s">
        <v>35</v>
      </c>
      <c r="P34" s="40"/>
      <c r="Q34" s="40" t="s">
        <v>35</v>
      </c>
      <c r="R34" s="40" t="s">
        <v>35</v>
      </c>
      <c r="S34" s="40" t="s">
        <v>35</v>
      </c>
      <c r="T34" s="40" t="s">
        <v>35</v>
      </c>
      <c r="U34" s="40" t="s">
        <v>35</v>
      </c>
      <c r="V34" s="40" t="s">
        <v>35</v>
      </c>
      <c r="W34" s="40" t="s">
        <v>35</v>
      </c>
      <c r="X34" s="40" t="s">
        <v>35</v>
      </c>
      <c r="Y34" s="40" t="s">
        <v>35</v>
      </c>
      <c r="Z34" s="40" t="s">
        <v>35</v>
      </c>
      <c r="AA34" s="40" t="s">
        <v>35</v>
      </c>
      <c r="AB34" s="40" t="s">
        <v>35</v>
      </c>
      <c r="AC34" s="40" t="s">
        <v>35</v>
      </c>
      <c r="AD34" s="150" t="str">
        <f>D34</f>
        <v>-</v>
      </c>
    </row>
    <row r="35" spans="1:30" ht="31.5" x14ac:dyDescent="0.2">
      <c r="A35" s="148" t="s">
        <v>359</v>
      </c>
      <c r="B35" s="149" t="s">
        <v>360</v>
      </c>
      <c r="C35" s="150" t="s">
        <v>35</v>
      </c>
      <c r="D35" s="40" t="s">
        <v>35</v>
      </c>
      <c r="E35" s="150" t="s">
        <v>35</v>
      </c>
      <c r="F35" s="40" t="s">
        <v>35</v>
      </c>
      <c r="G35" s="150" t="s">
        <v>35</v>
      </c>
      <c r="H35" s="40" t="s">
        <v>35</v>
      </c>
      <c r="I35" s="150" t="s">
        <v>35</v>
      </c>
      <c r="J35" s="150" t="s">
        <v>35</v>
      </c>
      <c r="K35" s="150" t="s">
        <v>35</v>
      </c>
      <c r="L35" s="150" t="s">
        <v>35</v>
      </c>
      <c r="M35" s="150" t="s">
        <v>35</v>
      </c>
      <c r="N35" s="150" t="s">
        <v>35</v>
      </c>
      <c r="O35" s="150" t="s">
        <v>35</v>
      </c>
      <c r="P35" s="150"/>
      <c r="Q35" s="40" t="s">
        <v>35</v>
      </c>
      <c r="R35" s="150" t="s">
        <v>35</v>
      </c>
      <c r="S35" s="150" t="s">
        <v>35</v>
      </c>
      <c r="T35" s="150" t="s">
        <v>35</v>
      </c>
      <c r="U35" s="150" t="s">
        <v>35</v>
      </c>
      <c r="V35" s="150" t="s">
        <v>35</v>
      </c>
      <c r="W35" s="40" t="s">
        <v>35</v>
      </c>
      <c r="X35" s="150" t="s">
        <v>35</v>
      </c>
      <c r="Y35" s="150" t="s">
        <v>35</v>
      </c>
      <c r="Z35" s="150" t="s">
        <v>35</v>
      </c>
      <c r="AA35" s="150" t="s">
        <v>35</v>
      </c>
      <c r="AB35" s="150" t="s">
        <v>35</v>
      </c>
      <c r="AC35" s="150" t="s">
        <v>35</v>
      </c>
      <c r="AD35" s="148" t="s">
        <v>35</v>
      </c>
    </row>
    <row r="36" spans="1:30" ht="31.5" x14ac:dyDescent="0.2">
      <c r="A36" s="148" t="s">
        <v>361</v>
      </c>
      <c r="B36" s="149" t="s">
        <v>362</v>
      </c>
      <c r="C36" s="150" t="s">
        <v>35</v>
      </c>
      <c r="D36" s="40" t="s">
        <v>35</v>
      </c>
      <c r="E36" s="150" t="s">
        <v>35</v>
      </c>
      <c r="F36" s="40" t="s">
        <v>35</v>
      </c>
      <c r="G36" s="150" t="s">
        <v>35</v>
      </c>
      <c r="H36" s="40" t="s">
        <v>35</v>
      </c>
      <c r="I36" s="150" t="s">
        <v>35</v>
      </c>
      <c r="J36" s="150" t="s">
        <v>35</v>
      </c>
      <c r="K36" s="150" t="s">
        <v>35</v>
      </c>
      <c r="L36" s="150" t="s">
        <v>35</v>
      </c>
      <c r="M36" s="150" t="s">
        <v>35</v>
      </c>
      <c r="N36" s="150" t="s">
        <v>35</v>
      </c>
      <c r="O36" s="150" t="s">
        <v>35</v>
      </c>
      <c r="P36" s="150"/>
      <c r="Q36" s="40" t="s">
        <v>35</v>
      </c>
      <c r="R36" s="150" t="s">
        <v>35</v>
      </c>
      <c r="S36" s="150" t="s">
        <v>35</v>
      </c>
      <c r="T36" s="150" t="s">
        <v>35</v>
      </c>
      <c r="U36" s="150" t="s">
        <v>35</v>
      </c>
      <c r="V36" s="150" t="s">
        <v>35</v>
      </c>
      <c r="W36" s="40" t="s">
        <v>35</v>
      </c>
      <c r="X36" s="150" t="s">
        <v>35</v>
      </c>
      <c r="Y36" s="150" t="s">
        <v>35</v>
      </c>
      <c r="Z36" s="150" t="s">
        <v>35</v>
      </c>
      <c r="AA36" s="150" t="s">
        <v>35</v>
      </c>
      <c r="AB36" s="150" t="s">
        <v>35</v>
      </c>
      <c r="AC36" s="150" t="s">
        <v>35</v>
      </c>
      <c r="AD36" s="148" t="s">
        <v>35</v>
      </c>
    </row>
    <row r="37" spans="1:30" ht="31.5" x14ac:dyDescent="0.2">
      <c r="A37" s="148" t="s">
        <v>363</v>
      </c>
      <c r="B37" s="149" t="s">
        <v>364</v>
      </c>
      <c r="C37" s="150" t="s">
        <v>35</v>
      </c>
      <c r="D37" s="40" t="s">
        <v>35</v>
      </c>
      <c r="E37" s="150" t="s">
        <v>35</v>
      </c>
      <c r="F37" s="40" t="s">
        <v>35</v>
      </c>
      <c r="G37" s="150" t="s">
        <v>35</v>
      </c>
      <c r="H37" s="40" t="s">
        <v>35</v>
      </c>
      <c r="I37" s="150" t="s">
        <v>35</v>
      </c>
      <c r="J37" s="150" t="s">
        <v>35</v>
      </c>
      <c r="K37" s="150" t="s">
        <v>35</v>
      </c>
      <c r="L37" s="150" t="s">
        <v>35</v>
      </c>
      <c r="M37" s="150" t="s">
        <v>35</v>
      </c>
      <c r="N37" s="150" t="s">
        <v>35</v>
      </c>
      <c r="O37" s="150" t="s">
        <v>35</v>
      </c>
      <c r="P37" s="150"/>
      <c r="Q37" s="40" t="s">
        <v>35</v>
      </c>
      <c r="R37" s="150" t="s">
        <v>35</v>
      </c>
      <c r="S37" s="150" t="s">
        <v>35</v>
      </c>
      <c r="T37" s="150" t="s">
        <v>35</v>
      </c>
      <c r="U37" s="150" t="s">
        <v>35</v>
      </c>
      <c r="V37" s="150" t="s">
        <v>35</v>
      </c>
      <c r="W37" s="40" t="s">
        <v>35</v>
      </c>
      <c r="X37" s="150" t="s">
        <v>35</v>
      </c>
      <c r="Y37" s="150" t="s">
        <v>35</v>
      </c>
      <c r="Z37" s="150" t="s">
        <v>35</v>
      </c>
      <c r="AA37" s="150" t="s">
        <v>35</v>
      </c>
      <c r="AB37" s="150" t="s">
        <v>35</v>
      </c>
      <c r="AC37" s="150" t="s">
        <v>35</v>
      </c>
      <c r="AD37" s="148" t="s">
        <v>35</v>
      </c>
    </row>
    <row r="38" spans="1:30" ht="31.5" x14ac:dyDescent="0.2">
      <c r="A38" s="148" t="s">
        <v>365</v>
      </c>
      <c r="B38" s="149" t="s">
        <v>366</v>
      </c>
      <c r="C38" s="150">
        <v>14.025</v>
      </c>
      <c r="D38" s="150">
        <v>4.827</v>
      </c>
      <c r="E38" s="150">
        <f>E46</f>
        <v>14.025</v>
      </c>
      <c r="F38" s="40">
        <f>C38-D38</f>
        <v>9.1980000000000004</v>
      </c>
      <c r="G38" s="152" t="s">
        <v>35</v>
      </c>
      <c r="H38" s="153" t="s">
        <v>35</v>
      </c>
      <c r="I38" s="152" t="s">
        <v>35</v>
      </c>
      <c r="J38" s="152" t="s">
        <v>35</v>
      </c>
      <c r="K38" s="152" t="s">
        <v>35</v>
      </c>
      <c r="L38" s="150">
        <f>L46</f>
        <v>14.025</v>
      </c>
      <c r="M38" s="150">
        <f>M46</f>
        <v>14.025</v>
      </c>
      <c r="N38" s="40">
        <f>SUM(O38:P38)</f>
        <v>4.827</v>
      </c>
      <c r="O38" s="153" t="s">
        <v>35</v>
      </c>
      <c r="P38" s="40">
        <v>4.827</v>
      </c>
      <c r="Q38" s="153" t="s">
        <v>35</v>
      </c>
      <c r="R38" s="152" t="s">
        <v>35</v>
      </c>
      <c r="S38" s="152" t="s">
        <v>35</v>
      </c>
      <c r="T38" s="152" t="s">
        <v>35</v>
      </c>
      <c r="U38" s="152" t="s">
        <v>35</v>
      </c>
      <c r="V38" s="152" t="s">
        <v>35</v>
      </c>
      <c r="W38" s="153" t="s">
        <v>35</v>
      </c>
      <c r="X38" s="152" t="s">
        <v>35</v>
      </c>
      <c r="Y38" s="152" t="s">
        <v>35</v>
      </c>
      <c r="Z38" s="152" t="s">
        <v>35</v>
      </c>
      <c r="AA38" s="152" t="s">
        <v>35</v>
      </c>
      <c r="AB38" s="152" t="s">
        <v>35</v>
      </c>
      <c r="AC38" s="150">
        <f>AC46</f>
        <v>14.025</v>
      </c>
      <c r="AD38" s="150">
        <v>4.827</v>
      </c>
    </row>
    <row r="39" spans="1:30" ht="31.5" x14ac:dyDescent="0.2">
      <c r="A39" s="148" t="s">
        <v>367</v>
      </c>
      <c r="B39" s="149" t="s">
        <v>368</v>
      </c>
      <c r="C39" s="152" t="s">
        <v>35</v>
      </c>
      <c r="D39" s="148" t="s">
        <v>35</v>
      </c>
      <c r="E39" s="152" t="s">
        <v>35</v>
      </c>
      <c r="F39" s="153" t="s">
        <v>35</v>
      </c>
      <c r="G39" s="152" t="s">
        <v>35</v>
      </c>
      <c r="H39" s="153" t="s">
        <v>35</v>
      </c>
      <c r="I39" s="152" t="s">
        <v>35</v>
      </c>
      <c r="J39" s="152" t="s">
        <v>35</v>
      </c>
      <c r="K39" s="152" t="s">
        <v>35</v>
      </c>
      <c r="L39" s="152" t="s">
        <v>35</v>
      </c>
      <c r="M39" s="152" t="s">
        <v>35</v>
      </c>
      <c r="N39" s="40" t="s">
        <v>35</v>
      </c>
      <c r="O39" s="153" t="s">
        <v>35</v>
      </c>
      <c r="P39" s="153"/>
      <c r="Q39" s="153" t="s">
        <v>35</v>
      </c>
      <c r="R39" s="152" t="s">
        <v>35</v>
      </c>
      <c r="S39" s="152" t="s">
        <v>35</v>
      </c>
      <c r="T39" s="152" t="s">
        <v>35</v>
      </c>
      <c r="U39" s="152" t="s">
        <v>35</v>
      </c>
      <c r="V39" s="152" t="s">
        <v>35</v>
      </c>
      <c r="W39" s="153" t="s">
        <v>35</v>
      </c>
      <c r="X39" s="152" t="s">
        <v>35</v>
      </c>
      <c r="Y39" s="152" t="s">
        <v>35</v>
      </c>
      <c r="Z39" s="152" t="s">
        <v>35</v>
      </c>
      <c r="AA39" s="152" t="s">
        <v>35</v>
      </c>
      <c r="AB39" s="152" t="s">
        <v>35</v>
      </c>
      <c r="AC39" s="152" t="s">
        <v>35</v>
      </c>
      <c r="AD39" s="148" t="s">
        <v>35</v>
      </c>
    </row>
    <row r="40" spans="1:30" ht="15.75" x14ac:dyDescent="0.2">
      <c r="A40" s="148" t="s">
        <v>369</v>
      </c>
      <c r="B40" s="149" t="s">
        <v>370</v>
      </c>
      <c r="C40" s="152" t="s">
        <v>35</v>
      </c>
      <c r="D40" s="148" t="s">
        <v>35</v>
      </c>
      <c r="E40" s="152" t="s">
        <v>35</v>
      </c>
      <c r="F40" s="153" t="s">
        <v>35</v>
      </c>
      <c r="G40" s="152" t="s">
        <v>35</v>
      </c>
      <c r="H40" s="153" t="s">
        <v>35</v>
      </c>
      <c r="I40" s="152" t="s">
        <v>35</v>
      </c>
      <c r="J40" s="152" t="s">
        <v>35</v>
      </c>
      <c r="K40" s="152" t="s">
        <v>35</v>
      </c>
      <c r="L40" s="152" t="s">
        <v>35</v>
      </c>
      <c r="M40" s="152" t="s">
        <v>35</v>
      </c>
      <c r="N40" s="40" t="s">
        <v>35</v>
      </c>
      <c r="O40" s="153" t="s">
        <v>35</v>
      </c>
      <c r="P40" s="153"/>
      <c r="Q40" s="153" t="s">
        <v>35</v>
      </c>
      <c r="R40" s="152" t="s">
        <v>35</v>
      </c>
      <c r="S40" s="152" t="s">
        <v>35</v>
      </c>
      <c r="T40" s="152" t="s">
        <v>35</v>
      </c>
      <c r="U40" s="152" t="s">
        <v>35</v>
      </c>
      <c r="V40" s="152" t="s">
        <v>35</v>
      </c>
      <c r="W40" s="153" t="s">
        <v>35</v>
      </c>
      <c r="X40" s="152" t="s">
        <v>35</v>
      </c>
      <c r="Y40" s="152" t="s">
        <v>35</v>
      </c>
      <c r="Z40" s="152" t="s">
        <v>35</v>
      </c>
      <c r="AA40" s="152" t="s">
        <v>35</v>
      </c>
      <c r="AB40" s="152" t="s">
        <v>35</v>
      </c>
      <c r="AC40" s="152" t="s">
        <v>35</v>
      </c>
      <c r="AD40" s="148" t="s">
        <v>35</v>
      </c>
    </row>
    <row r="41" spans="1:30" ht="15.75" x14ac:dyDescent="0.2">
      <c r="A41" s="148" t="s">
        <v>371</v>
      </c>
      <c r="B41" s="149" t="s">
        <v>372</v>
      </c>
      <c r="C41" s="154">
        <v>645</v>
      </c>
      <c r="D41" s="154">
        <v>642</v>
      </c>
      <c r="E41" s="154">
        <v>645</v>
      </c>
      <c r="F41" s="42">
        <v>3</v>
      </c>
      <c r="G41" s="152" t="s">
        <v>35</v>
      </c>
      <c r="H41" s="153" t="s">
        <v>35</v>
      </c>
      <c r="I41" s="152" t="s">
        <v>35</v>
      </c>
      <c r="J41" s="152" t="s">
        <v>35</v>
      </c>
      <c r="K41" s="152" t="s">
        <v>35</v>
      </c>
      <c r="L41" s="154">
        <f>M41</f>
        <v>645</v>
      </c>
      <c r="M41" s="154">
        <v>645</v>
      </c>
      <c r="N41" s="42">
        <f>SUM(O41:P41)</f>
        <v>642</v>
      </c>
      <c r="O41" s="153" t="s">
        <v>35</v>
      </c>
      <c r="P41" s="42">
        <v>642</v>
      </c>
      <c r="Q41" s="153" t="s">
        <v>35</v>
      </c>
      <c r="R41" s="152" t="s">
        <v>35</v>
      </c>
      <c r="S41" s="152" t="s">
        <v>35</v>
      </c>
      <c r="T41" s="152" t="s">
        <v>35</v>
      </c>
      <c r="U41" s="152" t="s">
        <v>35</v>
      </c>
      <c r="V41" s="152" t="s">
        <v>35</v>
      </c>
      <c r="W41" s="153" t="s">
        <v>35</v>
      </c>
      <c r="X41" s="152" t="s">
        <v>35</v>
      </c>
      <c r="Y41" s="152" t="s">
        <v>35</v>
      </c>
      <c r="Z41" s="152" t="s">
        <v>35</v>
      </c>
      <c r="AA41" s="152" t="s">
        <v>35</v>
      </c>
      <c r="AB41" s="152" t="s">
        <v>35</v>
      </c>
      <c r="AC41" s="152" t="s">
        <v>35</v>
      </c>
      <c r="AD41" s="42">
        <v>642</v>
      </c>
    </row>
    <row r="42" spans="1:30" ht="31.5" x14ac:dyDescent="0.2">
      <c r="A42" s="42">
        <v>4</v>
      </c>
      <c r="B42" s="25" t="s">
        <v>373</v>
      </c>
      <c r="C42" s="40" t="s">
        <v>35</v>
      </c>
      <c r="D42" s="150" t="s">
        <v>35</v>
      </c>
      <c r="E42" s="40" t="s">
        <v>35</v>
      </c>
      <c r="F42" s="40" t="s">
        <v>35</v>
      </c>
      <c r="G42" s="40" t="s">
        <v>35</v>
      </c>
      <c r="H42" s="40" t="s">
        <v>35</v>
      </c>
      <c r="I42" s="40" t="s">
        <v>35</v>
      </c>
      <c r="J42" s="40" t="s">
        <v>35</v>
      </c>
      <c r="K42" s="40" t="s">
        <v>35</v>
      </c>
      <c r="L42" s="40" t="s">
        <v>35</v>
      </c>
      <c r="M42" s="40" t="s">
        <v>35</v>
      </c>
      <c r="N42" s="40" t="s">
        <v>35</v>
      </c>
      <c r="O42" s="40" t="s">
        <v>35</v>
      </c>
      <c r="P42" s="40"/>
      <c r="Q42" s="40" t="s">
        <v>35</v>
      </c>
      <c r="R42" s="40" t="s">
        <v>35</v>
      </c>
      <c r="S42" s="40" t="s">
        <v>35</v>
      </c>
      <c r="T42" s="40" t="s">
        <v>35</v>
      </c>
      <c r="U42" s="40" t="s">
        <v>35</v>
      </c>
      <c r="V42" s="40" t="s">
        <v>35</v>
      </c>
      <c r="W42" s="40" t="s">
        <v>35</v>
      </c>
      <c r="X42" s="40" t="s">
        <v>35</v>
      </c>
      <c r="Y42" s="40" t="s">
        <v>35</v>
      </c>
      <c r="Z42" s="40" t="s">
        <v>35</v>
      </c>
      <c r="AA42" s="40" t="s">
        <v>35</v>
      </c>
      <c r="AB42" s="40" t="s">
        <v>35</v>
      </c>
      <c r="AC42" s="40" t="s">
        <v>35</v>
      </c>
      <c r="AD42" s="150" t="s">
        <v>35</v>
      </c>
    </row>
    <row r="43" spans="1:30" ht="31.5" x14ac:dyDescent="0.2">
      <c r="A43" s="148" t="s">
        <v>374</v>
      </c>
      <c r="B43" s="149" t="s">
        <v>375</v>
      </c>
      <c r="C43" s="152" t="s">
        <v>35</v>
      </c>
      <c r="D43" s="148" t="s">
        <v>35</v>
      </c>
      <c r="E43" s="152" t="s">
        <v>35</v>
      </c>
      <c r="F43" s="153" t="s">
        <v>35</v>
      </c>
      <c r="G43" s="152" t="s">
        <v>35</v>
      </c>
      <c r="H43" s="153" t="s">
        <v>35</v>
      </c>
      <c r="I43" s="152" t="s">
        <v>35</v>
      </c>
      <c r="J43" s="152" t="s">
        <v>35</v>
      </c>
      <c r="K43" s="152" t="s">
        <v>35</v>
      </c>
      <c r="L43" s="152" t="s">
        <v>35</v>
      </c>
      <c r="M43" s="152" t="s">
        <v>35</v>
      </c>
      <c r="N43" s="150" t="s">
        <v>35</v>
      </c>
      <c r="O43" s="152" t="s">
        <v>35</v>
      </c>
      <c r="P43" s="152"/>
      <c r="Q43" s="153" t="s">
        <v>35</v>
      </c>
      <c r="R43" s="152" t="s">
        <v>35</v>
      </c>
      <c r="S43" s="152" t="s">
        <v>35</v>
      </c>
      <c r="T43" s="152" t="s">
        <v>35</v>
      </c>
      <c r="U43" s="152" t="s">
        <v>35</v>
      </c>
      <c r="V43" s="152" t="s">
        <v>35</v>
      </c>
      <c r="W43" s="153" t="s">
        <v>35</v>
      </c>
      <c r="X43" s="152" t="s">
        <v>35</v>
      </c>
      <c r="Y43" s="152" t="s">
        <v>35</v>
      </c>
      <c r="Z43" s="152" t="s">
        <v>35</v>
      </c>
      <c r="AA43" s="152" t="s">
        <v>35</v>
      </c>
      <c r="AB43" s="152" t="s">
        <v>35</v>
      </c>
      <c r="AC43" s="152" t="s">
        <v>35</v>
      </c>
      <c r="AD43" s="148" t="s">
        <v>35</v>
      </c>
    </row>
    <row r="44" spans="1:30" ht="31.5" x14ac:dyDescent="0.2">
      <c r="A44" s="148" t="s">
        <v>376</v>
      </c>
      <c r="B44" s="149" t="s">
        <v>362</v>
      </c>
      <c r="C44" s="152" t="s">
        <v>35</v>
      </c>
      <c r="D44" s="148" t="s">
        <v>35</v>
      </c>
      <c r="E44" s="152" t="s">
        <v>35</v>
      </c>
      <c r="F44" s="153" t="s">
        <v>35</v>
      </c>
      <c r="G44" s="152" t="s">
        <v>35</v>
      </c>
      <c r="H44" s="153" t="s">
        <v>35</v>
      </c>
      <c r="I44" s="152" t="s">
        <v>35</v>
      </c>
      <c r="J44" s="152" t="s">
        <v>35</v>
      </c>
      <c r="K44" s="152" t="s">
        <v>35</v>
      </c>
      <c r="L44" s="152" t="s">
        <v>35</v>
      </c>
      <c r="M44" s="152" t="s">
        <v>35</v>
      </c>
      <c r="N44" s="150" t="s">
        <v>35</v>
      </c>
      <c r="O44" s="152" t="s">
        <v>35</v>
      </c>
      <c r="P44" s="152"/>
      <c r="Q44" s="153" t="s">
        <v>35</v>
      </c>
      <c r="R44" s="152" t="s">
        <v>35</v>
      </c>
      <c r="S44" s="152" t="s">
        <v>35</v>
      </c>
      <c r="T44" s="152" t="s">
        <v>35</v>
      </c>
      <c r="U44" s="152" t="s">
        <v>35</v>
      </c>
      <c r="V44" s="152" t="s">
        <v>35</v>
      </c>
      <c r="W44" s="153" t="s">
        <v>35</v>
      </c>
      <c r="X44" s="152" t="s">
        <v>35</v>
      </c>
      <c r="Y44" s="152" t="s">
        <v>35</v>
      </c>
      <c r="Z44" s="152" t="s">
        <v>35</v>
      </c>
      <c r="AA44" s="152" t="s">
        <v>35</v>
      </c>
      <c r="AB44" s="152" t="s">
        <v>35</v>
      </c>
      <c r="AC44" s="152" t="s">
        <v>35</v>
      </c>
      <c r="AD44" s="148" t="s">
        <v>35</v>
      </c>
    </row>
    <row r="45" spans="1:30" ht="31.5" x14ac:dyDescent="0.2">
      <c r="A45" s="148" t="s">
        <v>377</v>
      </c>
      <c r="B45" s="149" t="s">
        <v>364</v>
      </c>
      <c r="C45" s="152" t="s">
        <v>35</v>
      </c>
      <c r="D45" s="148" t="s">
        <v>35</v>
      </c>
      <c r="E45" s="152" t="s">
        <v>35</v>
      </c>
      <c r="F45" s="153" t="s">
        <v>35</v>
      </c>
      <c r="G45" s="152" t="s">
        <v>35</v>
      </c>
      <c r="H45" s="153" t="s">
        <v>35</v>
      </c>
      <c r="I45" s="152" t="s">
        <v>35</v>
      </c>
      <c r="J45" s="152" t="s">
        <v>35</v>
      </c>
      <c r="K45" s="152" t="s">
        <v>35</v>
      </c>
      <c r="L45" s="152" t="s">
        <v>35</v>
      </c>
      <c r="M45" s="152" t="s">
        <v>35</v>
      </c>
      <c r="N45" s="150" t="s">
        <v>35</v>
      </c>
      <c r="O45" s="152" t="s">
        <v>35</v>
      </c>
      <c r="P45" s="152"/>
      <c r="Q45" s="153" t="s">
        <v>35</v>
      </c>
      <c r="R45" s="152" t="s">
        <v>35</v>
      </c>
      <c r="S45" s="152" t="s">
        <v>35</v>
      </c>
      <c r="T45" s="152" t="s">
        <v>35</v>
      </c>
      <c r="U45" s="152" t="s">
        <v>35</v>
      </c>
      <c r="V45" s="152" t="s">
        <v>35</v>
      </c>
      <c r="W45" s="153" t="s">
        <v>35</v>
      </c>
      <c r="X45" s="152" t="s">
        <v>35</v>
      </c>
      <c r="Y45" s="152" t="s">
        <v>35</v>
      </c>
      <c r="Z45" s="152" t="s">
        <v>35</v>
      </c>
      <c r="AA45" s="152" t="s">
        <v>35</v>
      </c>
      <c r="AB45" s="152" t="s">
        <v>35</v>
      </c>
      <c r="AC45" s="152" t="s">
        <v>35</v>
      </c>
      <c r="AD45" s="148" t="s">
        <v>35</v>
      </c>
    </row>
    <row r="46" spans="1:30" ht="31.5" x14ac:dyDescent="0.2">
      <c r="A46" s="148" t="s">
        <v>378</v>
      </c>
      <c r="B46" s="149" t="s">
        <v>366</v>
      </c>
      <c r="C46" s="150">
        <v>14.025</v>
      </c>
      <c r="D46" s="150">
        <v>4.827</v>
      </c>
      <c r="E46" s="150">
        <f>C46</f>
        <v>14.025</v>
      </c>
      <c r="F46" s="40">
        <f>C46-D46</f>
        <v>9.1980000000000004</v>
      </c>
      <c r="G46" s="150" t="s">
        <v>35</v>
      </c>
      <c r="H46" s="40" t="s">
        <v>35</v>
      </c>
      <c r="I46" s="150" t="s">
        <v>35</v>
      </c>
      <c r="J46" s="150" t="s">
        <v>35</v>
      </c>
      <c r="K46" s="150" t="s">
        <v>35</v>
      </c>
      <c r="L46" s="150">
        <f>C46</f>
        <v>14.025</v>
      </c>
      <c r="M46" s="150">
        <f>L46</f>
        <v>14.025</v>
      </c>
      <c r="N46" s="40">
        <f>SUM(O46:P46)</f>
        <v>4.827</v>
      </c>
      <c r="O46" s="40" t="s">
        <v>35</v>
      </c>
      <c r="P46" s="40">
        <v>4.827</v>
      </c>
      <c r="Q46" s="40" t="s">
        <v>35</v>
      </c>
      <c r="R46" s="150" t="s">
        <v>35</v>
      </c>
      <c r="S46" s="150" t="s">
        <v>35</v>
      </c>
      <c r="T46" s="150" t="s">
        <v>35</v>
      </c>
      <c r="U46" s="150" t="s">
        <v>35</v>
      </c>
      <c r="V46" s="150" t="s">
        <v>35</v>
      </c>
      <c r="W46" s="40" t="s">
        <v>35</v>
      </c>
      <c r="X46" s="150" t="s">
        <v>35</v>
      </c>
      <c r="Y46" s="150" t="s">
        <v>35</v>
      </c>
      <c r="Z46" s="150" t="s">
        <v>35</v>
      </c>
      <c r="AA46" s="150" t="s">
        <v>35</v>
      </c>
      <c r="AB46" s="150" t="s">
        <v>35</v>
      </c>
      <c r="AC46" s="150">
        <f>C46</f>
        <v>14.025</v>
      </c>
      <c r="AD46" s="40">
        <v>4.827</v>
      </c>
    </row>
    <row r="47" spans="1:30" ht="31.5" x14ac:dyDescent="0.2">
      <c r="A47" s="148" t="s">
        <v>379</v>
      </c>
      <c r="B47" s="149" t="s">
        <v>368</v>
      </c>
      <c r="C47" s="152" t="s">
        <v>35</v>
      </c>
      <c r="D47" s="148" t="s">
        <v>35</v>
      </c>
      <c r="E47" s="152" t="s">
        <v>35</v>
      </c>
      <c r="F47" s="153" t="s">
        <v>35</v>
      </c>
      <c r="G47" s="152" t="s">
        <v>35</v>
      </c>
      <c r="H47" s="153" t="s">
        <v>35</v>
      </c>
      <c r="I47" s="152" t="s">
        <v>35</v>
      </c>
      <c r="J47" s="152" t="s">
        <v>35</v>
      </c>
      <c r="K47" s="152" t="s">
        <v>35</v>
      </c>
      <c r="L47" s="152" t="s">
        <v>35</v>
      </c>
      <c r="M47" s="152" t="s">
        <v>35</v>
      </c>
      <c r="N47" s="40" t="s">
        <v>35</v>
      </c>
      <c r="O47" s="153" t="s">
        <v>35</v>
      </c>
      <c r="P47" s="153"/>
      <c r="Q47" s="153" t="s">
        <v>35</v>
      </c>
      <c r="R47" s="152" t="s">
        <v>35</v>
      </c>
      <c r="S47" s="152" t="s">
        <v>35</v>
      </c>
      <c r="T47" s="152" t="s">
        <v>35</v>
      </c>
      <c r="U47" s="152" t="s">
        <v>35</v>
      </c>
      <c r="V47" s="152" t="s">
        <v>35</v>
      </c>
      <c r="W47" s="153" t="s">
        <v>35</v>
      </c>
      <c r="X47" s="152" t="s">
        <v>35</v>
      </c>
      <c r="Y47" s="152" t="s">
        <v>35</v>
      </c>
      <c r="Z47" s="152" t="s">
        <v>35</v>
      </c>
      <c r="AA47" s="152" t="s">
        <v>35</v>
      </c>
      <c r="AB47" s="152" t="s">
        <v>35</v>
      </c>
      <c r="AC47" s="152" t="s">
        <v>35</v>
      </c>
      <c r="AD47" s="153"/>
    </row>
    <row r="48" spans="1:30" ht="15.75" x14ac:dyDescent="0.2">
      <c r="A48" s="148" t="s">
        <v>380</v>
      </c>
      <c r="B48" s="149" t="s">
        <v>370</v>
      </c>
      <c r="C48" s="152" t="s">
        <v>35</v>
      </c>
      <c r="D48" s="148" t="s">
        <v>35</v>
      </c>
      <c r="E48" s="152" t="s">
        <v>35</v>
      </c>
      <c r="F48" s="153" t="s">
        <v>35</v>
      </c>
      <c r="G48" s="152" t="s">
        <v>35</v>
      </c>
      <c r="H48" s="153" t="s">
        <v>35</v>
      </c>
      <c r="I48" s="152" t="s">
        <v>35</v>
      </c>
      <c r="J48" s="152" t="s">
        <v>35</v>
      </c>
      <c r="K48" s="152" t="s">
        <v>35</v>
      </c>
      <c r="L48" s="152" t="s">
        <v>35</v>
      </c>
      <c r="M48" s="152" t="s">
        <v>35</v>
      </c>
      <c r="N48" s="40" t="s">
        <v>35</v>
      </c>
      <c r="O48" s="153" t="s">
        <v>35</v>
      </c>
      <c r="P48" s="153"/>
      <c r="Q48" s="153" t="s">
        <v>35</v>
      </c>
      <c r="R48" s="152" t="s">
        <v>35</v>
      </c>
      <c r="S48" s="152" t="s">
        <v>35</v>
      </c>
      <c r="T48" s="152" t="s">
        <v>35</v>
      </c>
      <c r="U48" s="152" t="s">
        <v>35</v>
      </c>
      <c r="V48" s="152" t="s">
        <v>35</v>
      </c>
      <c r="W48" s="153" t="s">
        <v>35</v>
      </c>
      <c r="X48" s="152" t="s">
        <v>35</v>
      </c>
      <c r="Y48" s="152" t="s">
        <v>35</v>
      </c>
      <c r="Z48" s="152" t="s">
        <v>35</v>
      </c>
      <c r="AA48" s="152" t="s">
        <v>35</v>
      </c>
      <c r="AB48" s="152" t="s">
        <v>35</v>
      </c>
      <c r="AC48" s="152" t="s">
        <v>35</v>
      </c>
      <c r="AD48" s="153"/>
    </row>
    <row r="49" spans="1:30" ht="15.75" x14ac:dyDescent="0.2">
      <c r="A49" s="148" t="s">
        <v>381</v>
      </c>
      <c r="B49" s="149" t="s">
        <v>372</v>
      </c>
      <c r="C49" s="43">
        <v>645</v>
      </c>
      <c r="D49" s="43">
        <v>642</v>
      </c>
      <c r="E49" s="154">
        <v>645</v>
      </c>
      <c r="F49" s="42">
        <f>C49-D49</f>
        <v>3</v>
      </c>
      <c r="G49" s="152" t="s">
        <v>35</v>
      </c>
      <c r="H49" s="153" t="s">
        <v>35</v>
      </c>
      <c r="I49" s="152" t="s">
        <v>35</v>
      </c>
      <c r="J49" s="152" t="s">
        <v>35</v>
      </c>
      <c r="K49" s="152" t="s">
        <v>35</v>
      </c>
      <c r="L49" s="154">
        <f>M49</f>
        <v>645</v>
      </c>
      <c r="M49" s="154">
        <v>645</v>
      </c>
      <c r="N49" s="42">
        <f>SUM(O49:P49)</f>
        <v>642</v>
      </c>
      <c r="O49" s="153" t="s">
        <v>35</v>
      </c>
      <c r="P49" s="42">
        <v>642</v>
      </c>
      <c r="Q49" s="153" t="s">
        <v>35</v>
      </c>
      <c r="R49" s="152" t="s">
        <v>35</v>
      </c>
      <c r="S49" s="152" t="s">
        <v>35</v>
      </c>
      <c r="T49" s="152" t="s">
        <v>35</v>
      </c>
      <c r="U49" s="152" t="s">
        <v>35</v>
      </c>
      <c r="V49" s="152" t="s">
        <v>35</v>
      </c>
      <c r="W49" s="153" t="s">
        <v>35</v>
      </c>
      <c r="X49" s="152" t="s">
        <v>35</v>
      </c>
      <c r="Y49" s="152" t="s">
        <v>35</v>
      </c>
      <c r="Z49" s="152" t="s">
        <v>35</v>
      </c>
      <c r="AA49" s="152" t="s">
        <v>35</v>
      </c>
      <c r="AB49" s="152" t="s">
        <v>35</v>
      </c>
      <c r="AC49" s="152" t="s">
        <v>35</v>
      </c>
      <c r="AD49" s="42">
        <v>642</v>
      </c>
    </row>
    <row r="50" spans="1:30" ht="31.5" x14ac:dyDescent="0.2">
      <c r="A50" s="42">
        <v>5</v>
      </c>
      <c r="B50" s="25" t="s">
        <v>382</v>
      </c>
      <c r="C50" s="153" t="s">
        <v>35</v>
      </c>
      <c r="D50" s="148" t="s">
        <v>35</v>
      </c>
      <c r="E50" s="153" t="s">
        <v>35</v>
      </c>
      <c r="F50" s="153" t="s">
        <v>35</v>
      </c>
      <c r="G50" s="153" t="s">
        <v>35</v>
      </c>
      <c r="H50" s="153" t="s">
        <v>35</v>
      </c>
      <c r="I50" s="153" t="s">
        <v>35</v>
      </c>
      <c r="J50" s="153" t="s">
        <v>35</v>
      </c>
      <c r="K50" s="153" t="s">
        <v>35</v>
      </c>
      <c r="L50" s="153" t="s">
        <v>35</v>
      </c>
      <c r="M50" s="153" t="s">
        <v>35</v>
      </c>
      <c r="N50" s="40" t="s">
        <v>35</v>
      </c>
      <c r="O50" s="153" t="s">
        <v>35</v>
      </c>
      <c r="P50" s="153"/>
      <c r="Q50" s="153" t="s">
        <v>35</v>
      </c>
      <c r="R50" s="153" t="s">
        <v>35</v>
      </c>
      <c r="S50" s="153" t="s">
        <v>35</v>
      </c>
      <c r="T50" s="153" t="s">
        <v>35</v>
      </c>
      <c r="U50" s="153" t="s">
        <v>35</v>
      </c>
      <c r="V50" s="153" t="s">
        <v>35</v>
      </c>
      <c r="W50" s="153" t="s">
        <v>35</v>
      </c>
      <c r="X50" s="153" t="s">
        <v>35</v>
      </c>
      <c r="Y50" s="153" t="s">
        <v>35</v>
      </c>
      <c r="Z50" s="153" t="s">
        <v>35</v>
      </c>
      <c r="AA50" s="153" t="s">
        <v>35</v>
      </c>
      <c r="AB50" s="153" t="s">
        <v>35</v>
      </c>
      <c r="AC50" s="153" t="s">
        <v>35</v>
      </c>
      <c r="AD50" s="153"/>
    </row>
    <row r="51" spans="1:30" ht="15.75" x14ac:dyDescent="0.2">
      <c r="A51" s="148" t="s">
        <v>383</v>
      </c>
      <c r="B51" s="149" t="s">
        <v>384</v>
      </c>
      <c r="C51" s="150">
        <f>C29</f>
        <v>12.687000000000001</v>
      </c>
      <c r="D51" s="150">
        <f>D29</f>
        <v>11.821</v>
      </c>
      <c r="E51" s="150">
        <f>C51</f>
        <v>12.687000000000001</v>
      </c>
      <c r="F51" s="40">
        <f>C51-D51</f>
        <v>0.86600000000000144</v>
      </c>
      <c r="G51" s="150" t="s">
        <v>35</v>
      </c>
      <c r="H51" s="40" t="s">
        <v>35</v>
      </c>
      <c r="I51" s="150" t="s">
        <v>35</v>
      </c>
      <c r="J51" s="150" t="s">
        <v>35</v>
      </c>
      <c r="K51" s="150" t="s">
        <v>35</v>
      </c>
      <c r="L51" s="150">
        <f>C51</f>
        <v>12.687000000000001</v>
      </c>
      <c r="M51" s="150">
        <f>L51</f>
        <v>12.687000000000001</v>
      </c>
      <c r="N51" s="40">
        <f>SUM(O51:P51)</f>
        <v>11.821</v>
      </c>
      <c r="O51" s="40">
        <f>O29</f>
        <v>0.39800000000000002</v>
      </c>
      <c r="P51" s="40">
        <f>P29</f>
        <v>11.423</v>
      </c>
      <c r="Q51" s="40" t="s">
        <v>35</v>
      </c>
      <c r="R51" s="150" t="s">
        <v>35</v>
      </c>
      <c r="S51" s="150" t="s">
        <v>35</v>
      </c>
      <c r="T51" s="150" t="s">
        <v>35</v>
      </c>
      <c r="U51" s="40" t="s">
        <v>35</v>
      </c>
      <c r="V51" s="150" t="s">
        <v>35</v>
      </c>
      <c r="W51" s="40" t="s">
        <v>35</v>
      </c>
      <c r="X51" s="150" t="s">
        <v>35</v>
      </c>
      <c r="Y51" s="150" t="s">
        <v>35</v>
      </c>
      <c r="Z51" s="150" t="s">
        <v>35</v>
      </c>
      <c r="AA51" s="150" t="s">
        <v>35</v>
      </c>
      <c r="AB51" s="150" t="s">
        <v>35</v>
      </c>
      <c r="AC51" s="150">
        <f>C51</f>
        <v>12.687000000000001</v>
      </c>
      <c r="AD51" s="40">
        <f>AD29</f>
        <v>11.821</v>
      </c>
    </row>
    <row r="52" spans="1:30" ht="15.75" x14ac:dyDescent="0.2">
      <c r="A52" s="148" t="s">
        <v>385</v>
      </c>
      <c r="B52" s="149" t="s">
        <v>386</v>
      </c>
      <c r="C52" s="150" t="s">
        <v>35</v>
      </c>
      <c r="D52" s="148" t="s">
        <v>35</v>
      </c>
      <c r="E52" s="150" t="s">
        <v>35</v>
      </c>
      <c r="F52" s="40" t="s">
        <v>35</v>
      </c>
      <c r="G52" s="150" t="s">
        <v>35</v>
      </c>
      <c r="H52" s="40" t="s">
        <v>35</v>
      </c>
      <c r="I52" s="150" t="s">
        <v>35</v>
      </c>
      <c r="J52" s="150" t="s">
        <v>35</v>
      </c>
      <c r="K52" s="150" t="s">
        <v>35</v>
      </c>
      <c r="L52" s="150" t="s">
        <v>35</v>
      </c>
      <c r="M52" s="150" t="s">
        <v>35</v>
      </c>
      <c r="N52" s="40" t="s">
        <v>35</v>
      </c>
      <c r="O52" s="40" t="s">
        <v>35</v>
      </c>
      <c r="P52" s="40"/>
      <c r="Q52" s="40" t="s">
        <v>35</v>
      </c>
      <c r="R52" s="150" t="s">
        <v>35</v>
      </c>
      <c r="S52" s="150" t="s">
        <v>35</v>
      </c>
      <c r="T52" s="150" t="s">
        <v>35</v>
      </c>
      <c r="U52" s="40" t="s">
        <v>35</v>
      </c>
      <c r="V52" s="150" t="s">
        <v>35</v>
      </c>
      <c r="W52" s="40" t="s">
        <v>35</v>
      </c>
      <c r="X52" s="150" t="s">
        <v>35</v>
      </c>
      <c r="Y52" s="150" t="s">
        <v>35</v>
      </c>
      <c r="Z52" s="150" t="s">
        <v>35</v>
      </c>
      <c r="AA52" s="150" t="s">
        <v>35</v>
      </c>
      <c r="AB52" s="150" t="s">
        <v>35</v>
      </c>
      <c r="AC52" s="150" t="s">
        <v>35</v>
      </c>
      <c r="AD52" s="40"/>
    </row>
    <row r="53" spans="1:30" ht="15.75" x14ac:dyDescent="0.2">
      <c r="A53" s="148" t="s">
        <v>387</v>
      </c>
      <c r="B53" s="149" t="s">
        <v>388</v>
      </c>
      <c r="C53" s="150" t="s">
        <v>35</v>
      </c>
      <c r="D53" s="148" t="s">
        <v>35</v>
      </c>
      <c r="E53" s="150" t="s">
        <v>35</v>
      </c>
      <c r="F53" s="40" t="s">
        <v>35</v>
      </c>
      <c r="G53" s="150" t="s">
        <v>35</v>
      </c>
      <c r="H53" s="40" t="s">
        <v>35</v>
      </c>
      <c r="I53" s="150" t="s">
        <v>35</v>
      </c>
      <c r="J53" s="150" t="s">
        <v>35</v>
      </c>
      <c r="K53" s="150" t="s">
        <v>35</v>
      </c>
      <c r="L53" s="150" t="s">
        <v>35</v>
      </c>
      <c r="M53" s="150" t="s">
        <v>35</v>
      </c>
      <c r="N53" s="40" t="s">
        <v>35</v>
      </c>
      <c r="O53" s="40" t="s">
        <v>35</v>
      </c>
      <c r="P53" s="40"/>
      <c r="Q53" s="40" t="s">
        <v>35</v>
      </c>
      <c r="R53" s="150" t="s">
        <v>35</v>
      </c>
      <c r="S53" s="150" t="s">
        <v>35</v>
      </c>
      <c r="T53" s="150" t="s">
        <v>35</v>
      </c>
      <c r="U53" s="40" t="s">
        <v>35</v>
      </c>
      <c r="V53" s="150" t="s">
        <v>35</v>
      </c>
      <c r="W53" s="40" t="s">
        <v>35</v>
      </c>
      <c r="X53" s="150" t="s">
        <v>35</v>
      </c>
      <c r="Y53" s="150" t="s">
        <v>35</v>
      </c>
      <c r="Z53" s="150" t="s">
        <v>35</v>
      </c>
      <c r="AA53" s="150" t="s">
        <v>35</v>
      </c>
      <c r="AB53" s="150" t="s">
        <v>35</v>
      </c>
      <c r="AC53" s="150" t="s">
        <v>35</v>
      </c>
      <c r="AD53" s="40"/>
    </row>
    <row r="54" spans="1:30" ht="15.75" x14ac:dyDescent="0.2">
      <c r="A54" s="148" t="s">
        <v>389</v>
      </c>
      <c r="B54" s="149" t="s">
        <v>390</v>
      </c>
      <c r="C54" s="150" t="s">
        <v>35</v>
      </c>
      <c r="D54" s="148" t="s">
        <v>35</v>
      </c>
      <c r="E54" s="150" t="s">
        <v>35</v>
      </c>
      <c r="F54" s="40" t="s">
        <v>35</v>
      </c>
      <c r="G54" s="150" t="s">
        <v>35</v>
      </c>
      <c r="H54" s="40" t="s">
        <v>35</v>
      </c>
      <c r="I54" s="150" t="s">
        <v>35</v>
      </c>
      <c r="J54" s="150" t="s">
        <v>35</v>
      </c>
      <c r="K54" s="150" t="s">
        <v>35</v>
      </c>
      <c r="L54" s="150" t="s">
        <v>35</v>
      </c>
      <c r="M54" s="150" t="s">
        <v>35</v>
      </c>
      <c r="N54" s="40" t="s">
        <v>35</v>
      </c>
      <c r="O54" s="40" t="s">
        <v>35</v>
      </c>
      <c r="P54" s="40"/>
      <c r="Q54" s="40" t="s">
        <v>35</v>
      </c>
      <c r="R54" s="150" t="s">
        <v>35</v>
      </c>
      <c r="S54" s="150" t="s">
        <v>35</v>
      </c>
      <c r="T54" s="150" t="s">
        <v>35</v>
      </c>
      <c r="U54" s="150" t="s">
        <v>35</v>
      </c>
      <c r="V54" s="150" t="s">
        <v>35</v>
      </c>
      <c r="W54" s="40" t="s">
        <v>35</v>
      </c>
      <c r="X54" s="150" t="s">
        <v>35</v>
      </c>
      <c r="Y54" s="150" t="s">
        <v>35</v>
      </c>
      <c r="Z54" s="150" t="s">
        <v>35</v>
      </c>
      <c r="AA54" s="150" t="s">
        <v>35</v>
      </c>
      <c r="AB54" s="150" t="s">
        <v>35</v>
      </c>
      <c r="AC54" s="150" t="s">
        <v>35</v>
      </c>
      <c r="AD54" s="40"/>
    </row>
    <row r="55" spans="1:30" ht="15.75" x14ac:dyDescent="0.2">
      <c r="A55" s="148" t="s">
        <v>391</v>
      </c>
      <c r="B55" s="149" t="s">
        <v>392</v>
      </c>
      <c r="C55" s="150">
        <v>14.025</v>
      </c>
      <c r="D55" s="150">
        <v>4.827</v>
      </c>
      <c r="E55" s="150">
        <f>C55</f>
        <v>14.025</v>
      </c>
      <c r="F55" s="150">
        <v>9.1980000000000004</v>
      </c>
      <c r="G55" s="154" t="s">
        <v>35</v>
      </c>
      <c r="H55" s="40" t="s">
        <v>35</v>
      </c>
      <c r="I55" s="150" t="s">
        <v>35</v>
      </c>
      <c r="J55" s="150" t="s">
        <v>35</v>
      </c>
      <c r="K55" s="150" t="s">
        <v>35</v>
      </c>
      <c r="L55" s="150">
        <f>C55</f>
        <v>14.025</v>
      </c>
      <c r="M55" s="150">
        <f>L55</f>
        <v>14.025</v>
      </c>
      <c r="N55" s="40">
        <f>SUM(O55:P55)</f>
        <v>4.827</v>
      </c>
      <c r="O55" s="40" t="s">
        <v>35</v>
      </c>
      <c r="P55" s="40">
        <v>4.827</v>
      </c>
      <c r="Q55" s="40" t="s">
        <v>35</v>
      </c>
      <c r="R55" s="150" t="s">
        <v>35</v>
      </c>
      <c r="S55" s="150" t="s">
        <v>35</v>
      </c>
      <c r="T55" s="150" t="s">
        <v>35</v>
      </c>
      <c r="U55" s="150" t="s">
        <v>35</v>
      </c>
      <c r="V55" s="150" t="s">
        <v>35</v>
      </c>
      <c r="W55" s="40" t="s">
        <v>35</v>
      </c>
      <c r="X55" s="150" t="s">
        <v>35</v>
      </c>
      <c r="Y55" s="150" t="s">
        <v>35</v>
      </c>
      <c r="Z55" s="150" t="s">
        <v>35</v>
      </c>
      <c r="AA55" s="150" t="s">
        <v>35</v>
      </c>
      <c r="AB55" s="150" t="s">
        <v>35</v>
      </c>
      <c r="AC55" s="150">
        <f>C55</f>
        <v>14.025</v>
      </c>
      <c r="AD55" s="40">
        <v>4.827</v>
      </c>
    </row>
    <row r="56" spans="1:30" ht="15.75" x14ac:dyDescent="0.2">
      <c r="A56" s="148" t="s">
        <v>393</v>
      </c>
      <c r="B56" s="149" t="s">
        <v>372</v>
      </c>
      <c r="C56" s="154">
        <v>645</v>
      </c>
      <c r="D56" s="154">
        <v>642</v>
      </c>
      <c r="E56" s="154">
        <v>645</v>
      </c>
      <c r="F56" s="154">
        <v>3</v>
      </c>
      <c r="G56" s="152" t="s">
        <v>35</v>
      </c>
      <c r="H56" s="153" t="s">
        <v>35</v>
      </c>
      <c r="I56" s="152" t="s">
        <v>35</v>
      </c>
      <c r="J56" s="152" t="s">
        <v>35</v>
      </c>
      <c r="K56" s="152" t="s">
        <v>35</v>
      </c>
      <c r="L56" s="154">
        <f>C56</f>
        <v>645</v>
      </c>
      <c r="M56" s="154">
        <f>L56</f>
        <v>645</v>
      </c>
      <c r="N56" s="42">
        <f>SUM(O56:P56)</f>
        <v>642</v>
      </c>
      <c r="O56" s="153" t="s">
        <v>35</v>
      </c>
      <c r="P56" s="42">
        <v>642</v>
      </c>
      <c r="Q56" s="153" t="s">
        <v>35</v>
      </c>
      <c r="R56" s="152" t="s">
        <v>35</v>
      </c>
      <c r="S56" s="152" t="s">
        <v>35</v>
      </c>
      <c r="T56" s="152" t="s">
        <v>35</v>
      </c>
      <c r="U56" s="152" t="s">
        <v>35</v>
      </c>
      <c r="V56" s="152" t="s">
        <v>35</v>
      </c>
      <c r="W56" s="153" t="s">
        <v>35</v>
      </c>
      <c r="X56" s="152" t="s">
        <v>35</v>
      </c>
      <c r="Y56" s="152" t="s">
        <v>35</v>
      </c>
      <c r="Z56" s="152" t="s">
        <v>35</v>
      </c>
      <c r="AA56" s="152" t="s">
        <v>35</v>
      </c>
      <c r="AB56" s="152" t="s">
        <v>35</v>
      </c>
      <c r="AC56" s="154">
        <v>645</v>
      </c>
      <c r="AD56" s="42">
        <v>642</v>
      </c>
    </row>
    <row r="57" spans="1:30" ht="47.25" x14ac:dyDescent="0.2">
      <c r="A57" s="42">
        <v>6</v>
      </c>
      <c r="B57" s="25" t="s">
        <v>394</v>
      </c>
      <c r="C57" s="153" t="s">
        <v>35</v>
      </c>
      <c r="D57" s="148" t="s">
        <v>35</v>
      </c>
      <c r="E57" s="153" t="s">
        <v>35</v>
      </c>
      <c r="F57" s="153" t="s">
        <v>35</v>
      </c>
      <c r="G57" s="153" t="s">
        <v>35</v>
      </c>
      <c r="H57" s="153" t="s">
        <v>35</v>
      </c>
      <c r="I57" s="153" t="s">
        <v>35</v>
      </c>
      <c r="J57" s="153" t="s">
        <v>35</v>
      </c>
      <c r="K57" s="153" t="s">
        <v>35</v>
      </c>
      <c r="L57" s="153" t="s">
        <v>35</v>
      </c>
      <c r="M57" s="153" t="s">
        <v>35</v>
      </c>
      <c r="N57" s="40" t="s">
        <v>35</v>
      </c>
      <c r="O57" s="153" t="s">
        <v>35</v>
      </c>
      <c r="P57" s="153"/>
      <c r="Q57" s="153" t="s">
        <v>35</v>
      </c>
      <c r="R57" s="153" t="s">
        <v>35</v>
      </c>
      <c r="S57" s="153" t="s">
        <v>35</v>
      </c>
      <c r="T57" s="153" t="s">
        <v>35</v>
      </c>
      <c r="U57" s="153" t="s">
        <v>35</v>
      </c>
      <c r="V57" s="153" t="s">
        <v>35</v>
      </c>
      <c r="W57" s="153" t="s">
        <v>35</v>
      </c>
      <c r="X57" s="153" t="s">
        <v>35</v>
      </c>
      <c r="Y57" s="153" t="s">
        <v>35</v>
      </c>
      <c r="Z57" s="153" t="s">
        <v>35</v>
      </c>
      <c r="AA57" s="153" t="s">
        <v>35</v>
      </c>
      <c r="AB57" s="153" t="s">
        <v>35</v>
      </c>
      <c r="AC57" s="153" t="s">
        <v>35</v>
      </c>
      <c r="AD57" s="148" t="s">
        <v>35</v>
      </c>
    </row>
    <row r="58" spans="1:30" ht="15.75" x14ac:dyDescent="0.2">
      <c r="A58" s="42">
        <v>7</v>
      </c>
      <c r="B58" s="25" t="s">
        <v>395</v>
      </c>
      <c r="C58" s="40" t="s">
        <v>35</v>
      </c>
      <c r="D58" s="150" t="s">
        <v>35</v>
      </c>
      <c r="E58" s="40" t="s">
        <v>35</v>
      </c>
      <c r="F58" s="40" t="s">
        <v>35</v>
      </c>
      <c r="G58" s="40" t="s">
        <v>35</v>
      </c>
      <c r="H58" s="40" t="s">
        <v>35</v>
      </c>
      <c r="I58" s="40" t="s">
        <v>35</v>
      </c>
      <c r="J58" s="40" t="s">
        <v>35</v>
      </c>
      <c r="K58" s="40" t="s">
        <v>35</v>
      </c>
      <c r="L58" s="40" t="s">
        <v>35</v>
      </c>
      <c r="M58" s="40" t="s">
        <v>35</v>
      </c>
      <c r="N58" s="40" t="s">
        <v>35</v>
      </c>
      <c r="O58" s="40" t="s">
        <v>35</v>
      </c>
      <c r="P58" s="40"/>
      <c r="Q58" s="40" t="s">
        <v>35</v>
      </c>
      <c r="R58" s="40" t="s">
        <v>35</v>
      </c>
      <c r="S58" s="40" t="s">
        <v>35</v>
      </c>
      <c r="T58" s="40" t="s">
        <v>35</v>
      </c>
      <c r="U58" s="40" t="s">
        <v>35</v>
      </c>
      <c r="V58" s="40" t="s">
        <v>35</v>
      </c>
      <c r="W58" s="40" t="s">
        <v>35</v>
      </c>
      <c r="X58" s="40" t="s">
        <v>35</v>
      </c>
      <c r="Y58" s="40" t="s">
        <v>35</v>
      </c>
      <c r="Z58" s="40" t="s">
        <v>35</v>
      </c>
      <c r="AA58" s="40" t="s">
        <v>35</v>
      </c>
      <c r="AB58" s="40" t="s">
        <v>35</v>
      </c>
      <c r="AC58" s="40" t="s">
        <v>35</v>
      </c>
      <c r="AD58" s="150" t="s">
        <v>35</v>
      </c>
    </row>
    <row r="59" spans="1:30" ht="31.5" x14ac:dyDescent="0.2">
      <c r="A59" s="148" t="s">
        <v>396</v>
      </c>
      <c r="B59" s="149" t="s">
        <v>375</v>
      </c>
      <c r="C59" s="152" t="s">
        <v>35</v>
      </c>
      <c r="D59" s="148" t="s">
        <v>35</v>
      </c>
      <c r="E59" s="152" t="s">
        <v>35</v>
      </c>
      <c r="F59" s="153" t="s">
        <v>35</v>
      </c>
      <c r="G59" s="152" t="s">
        <v>35</v>
      </c>
      <c r="H59" s="153" t="s">
        <v>35</v>
      </c>
      <c r="I59" s="152" t="s">
        <v>35</v>
      </c>
      <c r="J59" s="152" t="s">
        <v>35</v>
      </c>
      <c r="K59" s="152" t="s">
        <v>35</v>
      </c>
      <c r="L59" s="152" t="s">
        <v>35</v>
      </c>
      <c r="M59" s="152" t="s">
        <v>35</v>
      </c>
      <c r="N59" s="150" t="s">
        <v>35</v>
      </c>
      <c r="O59" s="152" t="s">
        <v>35</v>
      </c>
      <c r="P59" s="152"/>
      <c r="Q59" s="153" t="s">
        <v>35</v>
      </c>
      <c r="R59" s="152" t="s">
        <v>35</v>
      </c>
      <c r="S59" s="152" t="s">
        <v>35</v>
      </c>
      <c r="T59" s="152" t="s">
        <v>35</v>
      </c>
      <c r="U59" s="152" t="s">
        <v>35</v>
      </c>
      <c r="V59" s="152" t="s">
        <v>35</v>
      </c>
      <c r="W59" s="153" t="s">
        <v>35</v>
      </c>
      <c r="X59" s="152" t="s">
        <v>35</v>
      </c>
      <c r="Y59" s="152" t="s">
        <v>35</v>
      </c>
      <c r="Z59" s="152" t="s">
        <v>35</v>
      </c>
      <c r="AA59" s="152" t="s">
        <v>35</v>
      </c>
      <c r="AB59" s="152" t="s">
        <v>35</v>
      </c>
      <c r="AC59" s="152" t="s">
        <v>35</v>
      </c>
      <c r="AD59" s="148" t="s">
        <v>35</v>
      </c>
    </row>
    <row r="60" spans="1:30" ht="31.5" x14ac:dyDescent="0.2">
      <c r="A60" s="148" t="s">
        <v>397</v>
      </c>
      <c r="B60" s="149" t="s">
        <v>362</v>
      </c>
      <c r="C60" s="152" t="s">
        <v>35</v>
      </c>
      <c r="D60" s="148" t="s">
        <v>35</v>
      </c>
      <c r="E60" s="152" t="s">
        <v>35</v>
      </c>
      <c r="F60" s="153" t="s">
        <v>35</v>
      </c>
      <c r="G60" s="152" t="s">
        <v>35</v>
      </c>
      <c r="H60" s="153" t="s">
        <v>35</v>
      </c>
      <c r="I60" s="152" t="s">
        <v>35</v>
      </c>
      <c r="J60" s="152" t="s">
        <v>35</v>
      </c>
      <c r="K60" s="152" t="s">
        <v>35</v>
      </c>
      <c r="L60" s="152" t="s">
        <v>35</v>
      </c>
      <c r="M60" s="152" t="s">
        <v>35</v>
      </c>
      <c r="N60" s="150" t="s">
        <v>35</v>
      </c>
      <c r="O60" s="152" t="s">
        <v>35</v>
      </c>
      <c r="P60" s="152"/>
      <c r="Q60" s="153" t="s">
        <v>35</v>
      </c>
      <c r="R60" s="152" t="s">
        <v>35</v>
      </c>
      <c r="S60" s="152" t="s">
        <v>35</v>
      </c>
      <c r="T60" s="152" t="s">
        <v>35</v>
      </c>
      <c r="U60" s="152" t="s">
        <v>35</v>
      </c>
      <c r="V60" s="152" t="s">
        <v>35</v>
      </c>
      <c r="W60" s="153" t="s">
        <v>35</v>
      </c>
      <c r="X60" s="152" t="s">
        <v>35</v>
      </c>
      <c r="Y60" s="152" t="s">
        <v>35</v>
      </c>
      <c r="Z60" s="152" t="s">
        <v>35</v>
      </c>
      <c r="AA60" s="152" t="s">
        <v>35</v>
      </c>
      <c r="AB60" s="152" t="s">
        <v>35</v>
      </c>
      <c r="AC60" s="152" t="s">
        <v>35</v>
      </c>
      <c r="AD60" s="148" t="s">
        <v>35</v>
      </c>
    </row>
    <row r="61" spans="1:30" ht="31.5" x14ac:dyDescent="0.2">
      <c r="A61" s="148" t="s">
        <v>398</v>
      </c>
      <c r="B61" s="149" t="s">
        <v>364</v>
      </c>
      <c r="C61" s="152" t="s">
        <v>35</v>
      </c>
      <c r="D61" s="148" t="s">
        <v>35</v>
      </c>
      <c r="E61" s="152" t="s">
        <v>35</v>
      </c>
      <c r="F61" s="153" t="s">
        <v>35</v>
      </c>
      <c r="G61" s="152" t="s">
        <v>35</v>
      </c>
      <c r="H61" s="153" t="s">
        <v>35</v>
      </c>
      <c r="I61" s="152" t="s">
        <v>35</v>
      </c>
      <c r="J61" s="152" t="s">
        <v>35</v>
      </c>
      <c r="K61" s="152" t="s">
        <v>35</v>
      </c>
      <c r="L61" s="152" t="s">
        <v>35</v>
      </c>
      <c r="M61" s="152" t="s">
        <v>35</v>
      </c>
      <c r="N61" s="150" t="s">
        <v>35</v>
      </c>
      <c r="O61" s="152" t="s">
        <v>35</v>
      </c>
      <c r="P61" s="152"/>
      <c r="Q61" s="153" t="s">
        <v>35</v>
      </c>
      <c r="R61" s="152" t="s">
        <v>35</v>
      </c>
      <c r="S61" s="152" t="s">
        <v>35</v>
      </c>
      <c r="T61" s="152" t="s">
        <v>35</v>
      </c>
      <c r="U61" s="152" t="s">
        <v>35</v>
      </c>
      <c r="V61" s="152" t="s">
        <v>35</v>
      </c>
      <c r="W61" s="153" t="s">
        <v>35</v>
      </c>
      <c r="X61" s="152" t="s">
        <v>35</v>
      </c>
      <c r="Y61" s="152" t="s">
        <v>35</v>
      </c>
      <c r="Z61" s="152" t="s">
        <v>35</v>
      </c>
      <c r="AA61" s="152" t="s">
        <v>35</v>
      </c>
      <c r="AB61" s="152" t="s">
        <v>35</v>
      </c>
      <c r="AC61" s="152" t="s">
        <v>35</v>
      </c>
      <c r="AD61" s="148" t="s">
        <v>35</v>
      </c>
    </row>
    <row r="62" spans="1:30" ht="15.75" x14ac:dyDescent="0.2">
      <c r="A62" s="148" t="s">
        <v>399</v>
      </c>
      <c r="B62" s="149" t="s">
        <v>400</v>
      </c>
      <c r="C62" s="152" t="s">
        <v>35</v>
      </c>
      <c r="D62" s="148" t="s">
        <v>35</v>
      </c>
      <c r="E62" s="152" t="s">
        <v>35</v>
      </c>
      <c r="F62" s="40" t="s">
        <v>35</v>
      </c>
      <c r="G62" s="150" t="s">
        <v>35</v>
      </c>
      <c r="H62" s="40" t="s">
        <v>35</v>
      </c>
      <c r="I62" s="150" t="s">
        <v>35</v>
      </c>
      <c r="J62" s="150" t="s">
        <v>35</v>
      </c>
      <c r="K62" s="150" t="s">
        <v>35</v>
      </c>
      <c r="L62" s="150" t="str">
        <f>C62</f>
        <v>-</v>
      </c>
      <c r="M62" s="150" t="s">
        <v>35</v>
      </c>
      <c r="N62" s="150" t="str">
        <f>D62</f>
        <v>-</v>
      </c>
      <c r="O62" s="150" t="s">
        <v>35</v>
      </c>
      <c r="P62" s="150"/>
      <c r="Q62" s="40" t="s">
        <v>35</v>
      </c>
      <c r="R62" s="150" t="s">
        <v>35</v>
      </c>
      <c r="S62" s="150" t="s">
        <v>35</v>
      </c>
      <c r="T62" s="150" t="s">
        <v>35</v>
      </c>
      <c r="U62" s="150" t="s">
        <v>35</v>
      </c>
      <c r="V62" s="150" t="s">
        <v>35</v>
      </c>
      <c r="W62" s="40" t="s">
        <v>35</v>
      </c>
      <c r="X62" s="150" t="s">
        <v>35</v>
      </c>
      <c r="Y62" s="150" t="s">
        <v>35</v>
      </c>
      <c r="Z62" s="150" t="s">
        <v>35</v>
      </c>
      <c r="AA62" s="150" t="s">
        <v>35</v>
      </c>
      <c r="AB62" s="150" t="s">
        <v>35</v>
      </c>
      <c r="AC62" s="150" t="str">
        <f>C62</f>
        <v>-</v>
      </c>
      <c r="AD62" s="150" t="str">
        <f>D62</f>
        <v>-</v>
      </c>
    </row>
    <row r="63" spans="1:30" ht="15.75" x14ac:dyDescent="0.2">
      <c r="A63" s="148" t="s">
        <v>401</v>
      </c>
      <c r="B63" s="149" t="s">
        <v>402</v>
      </c>
      <c r="C63" s="150" t="s">
        <v>35</v>
      </c>
      <c r="D63" s="148" t="s">
        <v>35</v>
      </c>
      <c r="E63" s="150" t="s">
        <v>35</v>
      </c>
      <c r="F63" s="40" t="s">
        <v>35</v>
      </c>
      <c r="G63" s="150" t="s">
        <v>35</v>
      </c>
      <c r="H63" s="40" t="s">
        <v>35</v>
      </c>
      <c r="I63" s="150" t="s">
        <v>35</v>
      </c>
      <c r="J63" s="150" t="s">
        <v>35</v>
      </c>
      <c r="K63" s="150" t="s">
        <v>35</v>
      </c>
      <c r="L63" s="150" t="s">
        <v>35</v>
      </c>
      <c r="M63" s="150" t="s">
        <v>35</v>
      </c>
      <c r="N63" s="150" t="s">
        <v>35</v>
      </c>
      <c r="O63" s="150" t="s">
        <v>35</v>
      </c>
      <c r="P63" s="150"/>
      <c r="Q63" s="40" t="s">
        <v>35</v>
      </c>
      <c r="R63" s="150" t="s">
        <v>35</v>
      </c>
      <c r="S63" s="150" t="s">
        <v>35</v>
      </c>
      <c r="T63" s="150" t="s">
        <v>35</v>
      </c>
      <c r="U63" s="150" t="s">
        <v>35</v>
      </c>
      <c r="V63" s="150" t="s">
        <v>35</v>
      </c>
      <c r="W63" s="40" t="s">
        <v>35</v>
      </c>
      <c r="X63" s="150" t="s">
        <v>35</v>
      </c>
      <c r="Y63" s="150" t="s">
        <v>35</v>
      </c>
      <c r="Z63" s="150" t="s">
        <v>35</v>
      </c>
      <c r="AA63" s="150" t="s">
        <v>35</v>
      </c>
      <c r="AB63" s="150" t="s">
        <v>35</v>
      </c>
      <c r="AC63" s="150" t="s">
        <v>35</v>
      </c>
      <c r="AD63" s="148" t="s">
        <v>35</v>
      </c>
    </row>
  </sheetData>
  <mergeCells count="33">
    <mergeCell ref="Y20:Z20"/>
    <mergeCell ref="AA20:AB20"/>
    <mergeCell ref="N20:P20"/>
    <mergeCell ref="Q20:R20"/>
    <mergeCell ref="S20:T20"/>
    <mergeCell ref="U20:V20"/>
    <mergeCell ref="W20:X20"/>
    <mergeCell ref="A16:AD16"/>
    <mergeCell ref="A18:AD18"/>
    <mergeCell ref="A19:A21"/>
    <mergeCell ref="B19:B21"/>
    <mergeCell ref="C19:D20"/>
    <mergeCell ref="E19:F20"/>
    <mergeCell ref="G19:G21"/>
    <mergeCell ref="H19:K19"/>
    <mergeCell ref="L19:P19"/>
    <mergeCell ref="Q19:T19"/>
    <mergeCell ref="U19:X19"/>
    <mergeCell ref="Y19:AB19"/>
    <mergeCell ref="AC19:AD20"/>
    <mergeCell ref="H20:I20"/>
    <mergeCell ref="J20:K20"/>
    <mergeCell ref="L20:M20"/>
    <mergeCell ref="A9:AD9"/>
    <mergeCell ref="A10:AD10"/>
    <mergeCell ref="A12:AD12"/>
    <mergeCell ref="A13:AD13"/>
    <mergeCell ref="A15:AD15"/>
    <mergeCell ref="Z1:AD1"/>
    <mergeCell ref="Z2:AD2"/>
    <mergeCell ref="Z3:AD3"/>
    <mergeCell ref="A5:AD5"/>
    <mergeCell ref="A7:AD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61"/>
  <sheetViews>
    <sheetView topLeftCell="A19" zoomScale="70" zoomScaleNormal="70" workbookViewId="0">
      <pane ySplit="3" topLeftCell="A46" activePane="bottomLeft" state="frozen"/>
      <selection activeCell="A19" sqref="A19"/>
      <selection pane="bottomLeft" activeCell="A48" sqref="A48"/>
    </sheetView>
  </sheetViews>
  <sheetFormatPr defaultColWidth="9" defaultRowHeight="15" x14ac:dyDescent="0.2"/>
  <cols>
    <col min="1" max="1" width="5.7109375" style="16" customWidth="1"/>
    <col min="2" max="2" width="19.7109375" style="16" customWidth="1"/>
    <col min="3" max="3" width="14.85546875" style="16" customWidth="1"/>
    <col min="4" max="4" width="15.85546875" style="16" customWidth="1"/>
    <col min="5" max="8" width="5.85546875" style="16" customWidth="1"/>
    <col min="9" max="9" width="7.28515625" style="16" customWidth="1"/>
    <col min="10" max="11" width="5.7109375" style="16" customWidth="1"/>
    <col min="12" max="12" width="6.140625" style="16" customWidth="1"/>
    <col min="13" max="13" width="16.7109375" style="16" customWidth="1"/>
    <col min="14" max="14" width="18.42578125" style="16" customWidth="1"/>
    <col min="15" max="15" width="14.5703125" style="16" customWidth="1"/>
    <col min="16" max="16" width="15.28515625" style="16" customWidth="1"/>
    <col min="17" max="17" width="18.28515625" style="16" customWidth="1"/>
    <col min="18" max="18" width="14.7109375" style="16" customWidth="1"/>
    <col min="19" max="22" width="8.42578125" style="16" customWidth="1"/>
    <col min="23" max="23" width="16.42578125" style="16" customWidth="1"/>
    <col min="24" max="24" width="13.5703125" style="16" customWidth="1"/>
    <col min="25" max="25" width="15.28515625" style="16" customWidth="1"/>
    <col min="26" max="26" width="8.42578125" style="16" customWidth="1"/>
    <col min="27" max="27" width="15.28515625" style="16" customWidth="1"/>
    <col min="28" max="30" width="16.42578125" style="16" customWidth="1"/>
    <col min="31" max="31" width="18.140625" style="16" customWidth="1"/>
    <col min="32" max="32" width="13" style="16" customWidth="1"/>
    <col min="33" max="35" width="11.42578125" style="16" customWidth="1"/>
    <col min="36" max="36" width="12.5703125" style="16" customWidth="1"/>
    <col min="37" max="37" width="15.28515625" style="16" customWidth="1"/>
    <col min="38" max="38" width="15.85546875" style="16" customWidth="1"/>
    <col min="39" max="39" width="14.7109375" style="16" customWidth="1"/>
    <col min="40" max="43" width="11.42578125" style="16" customWidth="1"/>
    <col min="44" max="44" width="17" style="16" customWidth="1"/>
    <col min="45" max="45" width="17.7109375" style="16" customWidth="1"/>
    <col min="46" max="46" width="19" style="16" customWidth="1"/>
    <col min="47" max="47" width="16.140625" style="16" customWidth="1"/>
    <col min="48" max="48" width="14.140625" style="16" customWidth="1"/>
    <col min="49" max="1025" width="8.42578125" style="18" customWidth="1"/>
  </cols>
  <sheetData>
    <row r="1" spans="1:48" s="19" customFormat="1" ht="15.75" customHeight="1" x14ac:dyDescent="0.25">
      <c r="AS1" s="8" t="s">
        <v>0</v>
      </c>
      <c r="AT1" s="8"/>
      <c r="AU1" s="8"/>
      <c r="AV1" s="8"/>
    </row>
    <row r="2" spans="1:48" s="19" customFormat="1" ht="15.75" customHeight="1" x14ac:dyDescent="0.25">
      <c r="AS2" s="8" t="s">
        <v>1</v>
      </c>
      <c r="AT2" s="8"/>
      <c r="AU2" s="8"/>
      <c r="AV2" s="8"/>
    </row>
    <row r="3" spans="1:48" s="19" customFormat="1" ht="15.75" customHeight="1" x14ac:dyDescent="0.25">
      <c r="AS3" s="8" t="s">
        <v>2</v>
      </c>
      <c r="AT3" s="8"/>
      <c r="AU3" s="8"/>
      <c r="AV3" s="8"/>
    </row>
    <row r="4" spans="1:48" s="19" customFormat="1" ht="15.75" customHeight="1" x14ac:dyDescent="0.25"/>
    <row r="5" spans="1:48" s="19"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row>
    <row r="6" spans="1:48" s="19" customFormat="1" ht="15.75" customHeight="1" x14ac:dyDescent="0.25"/>
    <row r="7" spans="1:48" s="19"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row>
    <row r="8" spans="1:48" s="19" customFormat="1" ht="15.75" customHeight="1" x14ac:dyDescent="0.25"/>
    <row r="9" spans="1:48" s="19" customFormat="1" ht="15.75" customHeight="1" x14ac:dyDescent="0.25">
      <c r="A9" s="12" t="s">
        <v>403</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19" customFormat="1" ht="15.75" customHeight="1" x14ac:dyDescent="0.25">
      <c r="A10" s="221" t="s">
        <v>6</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row>
    <row r="11" spans="1:48" s="19" customFormat="1" ht="10.5" customHeight="1" x14ac:dyDescent="0.25"/>
    <row r="12" spans="1:48" s="19" customFormat="1" ht="15.75" customHeight="1" x14ac:dyDescent="0.25">
      <c r="A12" s="12" t="str">
        <f>'1. паспорт местоположение'!A12:C12</f>
        <v>L_0200001105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19" customFormat="1" ht="15.75" customHeight="1" x14ac:dyDescent="0.25">
      <c r="A13" s="221" t="s">
        <v>8</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row>
    <row r="14" spans="1:48" s="19" customFormat="1" ht="12.75" customHeight="1" x14ac:dyDescent="0.25"/>
    <row r="15" spans="1:48" s="19" customFormat="1" ht="15.75" customHeight="1" x14ac:dyDescent="0.25">
      <c r="A15" s="12" t="str">
        <f>'1. паспорт местоположение'!A15:C15</f>
        <v>Реконструкция ВЛ-0,4кВ от ТП-1105, ул. Мраморная,  (ДНТ «Березка») ул. Драгоценная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19" customFormat="1" ht="15.75" customHeight="1" x14ac:dyDescent="0.25">
      <c r="A16" s="221" t="s">
        <v>10</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c r="AS16" s="221"/>
      <c r="AT16" s="221"/>
      <c r="AU16" s="221"/>
      <c r="AV16" s="221"/>
    </row>
    <row r="17" spans="1:48" s="19" customFormat="1" ht="12.75" customHeight="1" x14ac:dyDescent="0.25"/>
    <row r="18" spans="1:48" ht="21" customHeight="1" x14ac:dyDescent="0.2">
      <c r="A18" s="222" t="s">
        <v>404</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s="155" customFormat="1" ht="69.75" customHeight="1" x14ac:dyDescent="0.2">
      <c r="A19" s="2" t="s">
        <v>405</v>
      </c>
      <c r="B19" s="223" t="s">
        <v>406</v>
      </c>
      <c r="C19" s="2" t="s">
        <v>407</v>
      </c>
      <c r="D19" s="2" t="s">
        <v>408</v>
      </c>
      <c r="E19" s="2" t="s">
        <v>409</v>
      </c>
      <c r="F19" s="2"/>
      <c r="G19" s="2"/>
      <c r="H19" s="2"/>
      <c r="I19" s="2"/>
      <c r="J19" s="2"/>
      <c r="K19" s="2"/>
      <c r="L19" s="2"/>
      <c r="M19" s="220" t="s">
        <v>410</v>
      </c>
      <c r="N19" s="2" t="s">
        <v>411</v>
      </c>
      <c r="O19" s="2" t="s">
        <v>412</v>
      </c>
      <c r="P19" s="2" t="s">
        <v>413</v>
      </c>
      <c r="Q19" s="2" t="s">
        <v>414</v>
      </c>
      <c r="R19" s="2" t="s">
        <v>415</v>
      </c>
      <c r="S19" s="2" t="s">
        <v>416</v>
      </c>
      <c r="T19" s="2"/>
      <c r="U19" s="224" t="s">
        <v>417</v>
      </c>
      <c r="V19" s="224" t="s">
        <v>418</v>
      </c>
      <c r="W19" s="2" t="s">
        <v>419</v>
      </c>
      <c r="X19" s="2" t="s">
        <v>420</v>
      </c>
      <c r="Y19" s="2" t="s">
        <v>421</v>
      </c>
      <c r="Z19" s="224" t="s">
        <v>422</v>
      </c>
      <c r="AA19" s="2" t="s">
        <v>423</v>
      </c>
      <c r="AB19" s="2" t="s">
        <v>424</v>
      </c>
      <c r="AC19" s="2" t="s">
        <v>425</v>
      </c>
      <c r="AD19" s="2" t="s">
        <v>426</v>
      </c>
      <c r="AE19" s="2" t="s">
        <v>427</v>
      </c>
      <c r="AF19" s="2" t="s">
        <v>428</v>
      </c>
      <c r="AG19" s="2"/>
      <c r="AH19" s="2"/>
      <c r="AI19" s="2"/>
      <c r="AJ19" s="2"/>
      <c r="AK19" s="2"/>
      <c r="AL19" s="2" t="s">
        <v>429</v>
      </c>
      <c r="AM19" s="2"/>
      <c r="AN19" s="2" t="s">
        <v>430</v>
      </c>
      <c r="AO19" s="2"/>
      <c r="AP19" s="2" t="s">
        <v>431</v>
      </c>
      <c r="AQ19" s="2"/>
      <c r="AR19" s="2" t="s">
        <v>432</v>
      </c>
      <c r="AS19" s="2" t="s">
        <v>433</v>
      </c>
      <c r="AT19" s="2" t="s">
        <v>434</v>
      </c>
      <c r="AU19" s="2" t="s">
        <v>435</v>
      </c>
      <c r="AV19" s="2" t="s">
        <v>436</v>
      </c>
    </row>
    <row r="20" spans="1:48" s="155" customFormat="1" ht="69.75" customHeight="1" x14ac:dyDescent="0.2">
      <c r="A20" s="2"/>
      <c r="B20" s="223"/>
      <c r="C20" s="2"/>
      <c r="D20" s="2"/>
      <c r="E20" s="224" t="s">
        <v>437</v>
      </c>
      <c r="F20" s="224" t="s">
        <v>386</v>
      </c>
      <c r="G20" s="224" t="s">
        <v>388</v>
      </c>
      <c r="H20" s="224" t="s">
        <v>390</v>
      </c>
      <c r="I20" s="224" t="s">
        <v>438</v>
      </c>
      <c r="J20" s="224" t="s">
        <v>439</v>
      </c>
      <c r="K20" s="224" t="s">
        <v>440</v>
      </c>
      <c r="L20" s="224" t="s">
        <v>441</v>
      </c>
      <c r="M20" s="220"/>
      <c r="N20" s="2"/>
      <c r="O20" s="2"/>
      <c r="P20" s="2"/>
      <c r="Q20" s="2"/>
      <c r="R20" s="2"/>
      <c r="S20" s="2" t="s">
        <v>254</v>
      </c>
      <c r="T20" s="2" t="s">
        <v>329</v>
      </c>
      <c r="U20" s="224"/>
      <c r="V20" s="224"/>
      <c r="W20" s="2"/>
      <c r="X20" s="2"/>
      <c r="Y20" s="2"/>
      <c r="Z20" s="224"/>
      <c r="AA20" s="2"/>
      <c r="AB20" s="2"/>
      <c r="AC20" s="2"/>
      <c r="AD20" s="2"/>
      <c r="AE20" s="2"/>
      <c r="AF20" s="2" t="s">
        <v>442</v>
      </c>
      <c r="AG20" s="2"/>
      <c r="AH20" s="2" t="s">
        <v>443</v>
      </c>
      <c r="AI20" s="2"/>
      <c r="AJ20" s="2" t="s">
        <v>444</v>
      </c>
      <c r="AK20" s="2" t="s">
        <v>445</v>
      </c>
      <c r="AL20" s="2" t="s">
        <v>446</v>
      </c>
      <c r="AM20" s="2" t="s">
        <v>447</v>
      </c>
      <c r="AN20" s="2" t="s">
        <v>448</v>
      </c>
      <c r="AO20" s="2" t="s">
        <v>449</v>
      </c>
      <c r="AP20" s="2" t="s">
        <v>450</v>
      </c>
      <c r="AQ20" s="2" t="s">
        <v>329</v>
      </c>
      <c r="AR20" s="2"/>
      <c r="AS20" s="2"/>
      <c r="AT20" s="2"/>
      <c r="AU20" s="2"/>
      <c r="AV20" s="2"/>
    </row>
    <row r="21" spans="1:48" s="155" customFormat="1" ht="69.75" customHeight="1" x14ac:dyDescent="0.2">
      <c r="A21" s="2"/>
      <c r="B21" s="223"/>
      <c r="C21" s="2"/>
      <c r="D21" s="2"/>
      <c r="E21" s="224"/>
      <c r="F21" s="224"/>
      <c r="G21" s="224"/>
      <c r="H21" s="224"/>
      <c r="I21" s="224"/>
      <c r="J21" s="224"/>
      <c r="K21" s="224"/>
      <c r="L21" s="224"/>
      <c r="M21" s="220"/>
      <c r="N21" s="2"/>
      <c r="O21" s="2"/>
      <c r="P21" s="2"/>
      <c r="Q21" s="2"/>
      <c r="R21" s="2"/>
      <c r="S21" s="2"/>
      <c r="T21" s="2"/>
      <c r="U21" s="224"/>
      <c r="V21" s="224"/>
      <c r="W21" s="2"/>
      <c r="X21" s="2"/>
      <c r="Y21" s="2"/>
      <c r="Z21" s="224"/>
      <c r="AA21" s="2"/>
      <c r="AB21" s="2"/>
      <c r="AC21" s="2"/>
      <c r="AD21" s="2"/>
      <c r="AE21" s="2"/>
      <c r="AF21" s="39" t="s">
        <v>451</v>
      </c>
      <c r="AG21" s="39" t="s">
        <v>452</v>
      </c>
      <c r="AH21" s="39" t="s">
        <v>254</v>
      </c>
      <c r="AI21" s="39" t="s">
        <v>329</v>
      </c>
      <c r="AJ21" s="2"/>
      <c r="AK21" s="2"/>
      <c r="AL21" s="2"/>
      <c r="AM21" s="2"/>
      <c r="AN21" s="2"/>
      <c r="AO21" s="2"/>
      <c r="AP21" s="2"/>
      <c r="AQ21" s="2"/>
      <c r="AR21" s="2"/>
      <c r="AS21" s="2"/>
      <c r="AT21" s="2"/>
      <c r="AU21" s="2"/>
      <c r="AV21" s="2"/>
    </row>
    <row r="22" spans="1:48" s="30" customFormat="1" ht="15.75" customHeight="1" x14ac:dyDescent="0.2">
      <c r="A22" s="22">
        <v>1</v>
      </c>
      <c r="B22" s="22">
        <v>2</v>
      </c>
      <c r="C22" s="22">
        <v>4</v>
      </c>
      <c r="D22" s="22">
        <v>5</v>
      </c>
      <c r="E22" s="22">
        <v>6</v>
      </c>
      <c r="F22" s="22">
        <v>7</v>
      </c>
      <c r="G22" s="22">
        <v>8</v>
      </c>
      <c r="H22" s="22">
        <v>9</v>
      </c>
      <c r="I22" s="22">
        <v>10</v>
      </c>
      <c r="J22" s="22">
        <v>11</v>
      </c>
      <c r="K22" s="22">
        <v>12</v>
      </c>
      <c r="L22" s="22">
        <v>13</v>
      </c>
      <c r="M22" s="22">
        <v>14</v>
      </c>
      <c r="N22" s="22">
        <v>15</v>
      </c>
      <c r="O22" s="22">
        <v>16</v>
      </c>
      <c r="P22" s="22">
        <v>17</v>
      </c>
      <c r="Q22" s="22">
        <v>18</v>
      </c>
      <c r="R22" s="22">
        <v>19</v>
      </c>
      <c r="S22" s="22">
        <v>20</v>
      </c>
      <c r="T22" s="22">
        <v>21</v>
      </c>
      <c r="U22" s="22">
        <v>22</v>
      </c>
      <c r="V22" s="22">
        <v>23</v>
      </c>
      <c r="W22" s="22">
        <v>24</v>
      </c>
      <c r="X22" s="22">
        <v>25</v>
      </c>
      <c r="Y22" s="22">
        <v>26</v>
      </c>
      <c r="Z22" s="22">
        <v>27</v>
      </c>
      <c r="AA22" s="22">
        <v>28</v>
      </c>
      <c r="AB22" s="22">
        <v>29</v>
      </c>
      <c r="AC22" s="22">
        <v>30</v>
      </c>
      <c r="AD22" s="22">
        <v>31</v>
      </c>
      <c r="AE22" s="22">
        <v>32</v>
      </c>
      <c r="AF22" s="22">
        <v>33</v>
      </c>
      <c r="AG22" s="22">
        <v>34</v>
      </c>
      <c r="AH22" s="22">
        <v>35</v>
      </c>
      <c r="AI22" s="22">
        <v>36</v>
      </c>
      <c r="AJ22" s="22">
        <v>37</v>
      </c>
      <c r="AK22" s="22">
        <v>38</v>
      </c>
      <c r="AL22" s="22">
        <v>39</v>
      </c>
      <c r="AM22" s="22">
        <v>40</v>
      </c>
      <c r="AN22" s="22">
        <v>41</v>
      </c>
      <c r="AO22" s="22">
        <v>42</v>
      </c>
      <c r="AP22" s="22">
        <v>43</v>
      </c>
      <c r="AQ22" s="22">
        <v>44</v>
      </c>
      <c r="AR22" s="22">
        <v>45</v>
      </c>
      <c r="AS22" s="22">
        <v>46</v>
      </c>
      <c r="AT22" s="22">
        <v>47</v>
      </c>
      <c r="AU22" s="22">
        <v>48</v>
      </c>
      <c r="AV22" s="22">
        <v>49</v>
      </c>
    </row>
    <row r="23" spans="1:48" s="161" customFormat="1" ht="81.75" customHeight="1" x14ac:dyDescent="0.2">
      <c r="A23" s="225">
        <v>1</v>
      </c>
      <c r="B23" s="226" t="s">
        <v>5</v>
      </c>
      <c r="C23" s="226" t="s">
        <v>453</v>
      </c>
      <c r="D23" s="227" t="s">
        <v>454</v>
      </c>
      <c r="E23" s="226" t="s">
        <v>35</v>
      </c>
      <c r="F23" s="226" t="s">
        <v>35</v>
      </c>
      <c r="G23" s="226" t="s">
        <v>35</v>
      </c>
      <c r="H23" s="226" t="s">
        <v>35</v>
      </c>
      <c r="I23" s="226" t="s">
        <v>35</v>
      </c>
      <c r="J23" s="226" t="s">
        <v>35</v>
      </c>
      <c r="K23" s="226" t="s">
        <v>35</v>
      </c>
      <c r="L23" s="156">
        <v>565</v>
      </c>
      <c r="M23" s="228" t="s">
        <v>455</v>
      </c>
      <c r="N23" s="157" t="s">
        <v>456</v>
      </c>
      <c r="O23" s="226" t="s">
        <v>180</v>
      </c>
      <c r="P23" s="229">
        <f>11596627.14/1.2/1000</f>
        <v>9663.855950000001</v>
      </c>
      <c r="Q23" s="226" t="s">
        <v>457</v>
      </c>
      <c r="R23" s="229">
        <f>P23</f>
        <v>9663.855950000001</v>
      </c>
      <c r="S23" s="226" t="s">
        <v>458</v>
      </c>
      <c r="T23" s="226"/>
      <c r="U23" s="226">
        <v>1</v>
      </c>
      <c r="V23" s="226">
        <v>1</v>
      </c>
      <c r="W23" s="226" t="s">
        <v>459</v>
      </c>
      <c r="X23" s="229">
        <f>10196280/1.2/1000</f>
        <v>8496.9</v>
      </c>
      <c r="Y23" s="226" t="s">
        <v>35</v>
      </c>
      <c r="Z23" s="226" t="s">
        <v>35</v>
      </c>
      <c r="AA23" s="226" t="s">
        <v>35</v>
      </c>
      <c r="AB23" s="229">
        <f>X23</f>
        <v>8496.9</v>
      </c>
      <c r="AC23" s="226" t="s">
        <v>459</v>
      </c>
      <c r="AD23" s="229">
        <v>10196.280000000001</v>
      </c>
      <c r="AE23" s="229">
        <f>10196280/1000</f>
        <v>10196.280000000001</v>
      </c>
      <c r="AF23" s="227" t="s">
        <v>460</v>
      </c>
      <c r="AG23" s="230" t="s">
        <v>461</v>
      </c>
      <c r="AH23" s="231">
        <v>45119</v>
      </c>
      <c r="AI23" s="231">
        <v>45119</v>
      </c>
      <c r="AJ23" s="231">
        <v>45127</v>
      </c>
      <c r="AK23" s="231">
        <v>45127</v>
      </c>
      <c r="AL23" s="226" t="s">
        <v>35</v>
      </c>
      <c r="AM23" s="226" t="s">
        <v>35</v>
      </c>
      <c r="AN23" s="231">
        <v>45133</v>
      </c>
      <c r="AO23" s="226" t="s">
        <v>462</v>
      </c>
      <c r="AP23" s="231">
        <v>45133</v>
      </c>
      <c r="AQ23" s="231">
        <v>45133</v>
      </c>
      <c r="AR23" s="226" t="s">
        <v>463</v>
      </c>
      <c r="AS23" s="226" t="s">
        <v>464</v>
      </c>
      <c r="AT23" s="231">
        <v>45174</v>
      </c>
      <c r="AU23" s="226" t="s">
        <v>35</v>
      </c>
      <c r="AV23" s="226" t="s">
        <v>35</v>
      </c>
    </row>
    <row r="24" spans="1:48" ht="80.25" customHeight="1" x14ac:dyDescent="0.2">
      <c r="A24" s="225"/>
      <c r="B24" s="226"/>
      <c r="C24" s="226"/>
      <c r="D24" s="227"/>
      <c r="E24" s="226"/>
      <c r="F24" s="226"/>
      <c r="G24" s="226"/>
      <c r="H24" s="226"/>
      <c r="I24" s="226"/>
      <c r="J24" s="226"/>
      <c r="K24" s="226"/>
      <c r="L24" s="156">
        <v>72</v>
      </c>
      <c r="M24" s="228"/>
      <c r="N24" s="157" t="s">
        <v>465</v>
      </c>
      <c r="O24" s="226"/>
      <c r="P24" s="229"/>
      <c r="Q24" s="226"/>
      <c r="R24" s="229"/>
      <c r="S24" s="226"/>
      <c r="T24" s="226"/>
      <c r="U24" s="226"/>
      <c r="V24" s="226"/>
      <c r="W24" s="226"/>
      <c r="X24" s="229"/>
      <c r="Y24" s="226"/>
      <c r="Z24" s="226"/>
      <c r="AA24" s="226"/>
      <c r="AB24" s="226"/>
      <c r="AC24" s="226"/>
      <c r="AD24" s="226"/>
      <c r="AE24" s="226"/>
      <c r="AF24" s="227"/>
      <c r="AG24" s="230"/>
      <c r="AH24" s="230"/>
      <c r="AI24" s="230"/>
      <c r="AJ24" s="230"/>
      <c r="AK24" s="230"/>
      <c r="AL24" s="230"/>
      <c r="AM24" s="230"/>
      <c r="AN24" s="230"/>
      <c r="AO24" s="230"/>
      <c r="AP24" s="231"/>
      <c r="AQ24" s="231"/>
      <c r="AR24" s="226"/>
      <c r="AS24" s="226"/>
      <c r="AT24" s="226"/>
      <c r="AU24" s="226"/>
      <c r="AV24" s="226"/>
    </row>
    <row r="25" spans="1:48" ht="89.25" x14ac:dyDescent="0.2">
      <c r="A25" s="225"/>
      <c r="B25" s="226"/>
      <c r="C25" s="226"/>
      <c r="D25" s="227"/>
      <c r="E25" s="226"/>
      <c r="F25" s="226"/>
      <c r="G25" s="226"/>
      <c r="H25" s="226"/>
      <c r="I25" s="226"/>
      <c r="J25" s="226"/>
      <c r="K25" s="226"/>
      <c r="L25" s="156">
        <v>8</v>
      </c>
      <c r="M25" s="228"/>
      <c r="N25" s="157" t="s">
        <v>466</v>
      </c>
      <c r="O25" s="226"/>
      <c r="P25" s="229"/>
      <c r="Q25" s="226"/>
      <c r="R25" s="229"/>
      <c r="S25" s="226"/>
      <c r="T25" s="226"/>
      <c r="U25" s="226"/>
      <c r="V25" s="226"/>
      <c r="W25" s="226"/>
      <c r="X25" s="229"/>
      <c r="Y25" s="226"/>
      <c r="Z25" s="226"/>
      <c r="AA25" s="226"/>
      <c r="AB25" s="226"/>
      <c r="AC25" s="226"/>
      <c r="AD25" s="226"/>
      <c r="AE25" s="226"/>
      <c r="AF25" s="227"/>
      <c r="AG25" s="230"/>
      <c r="AH25" s="230"/>
      <c r="AI25" s="230"/>
      <c r="AJ25" s="230"/>
      <c r="AK25" s="230"/>
      <c r="AL25" s="230"/>
      <c r="AM25" s="230"/>
      <c r="AN25" s="230"/>
      <c r="AO25" s="230"/>
      <c r="AP25" s="231"/>
      <c r="AQ25" s="231"/>
      <c r="AR25" s="226"/>
      <c r="AS25" s="226"/>
      <c r="AT25" s="226"/>
      <c r="AU25" s="226"/>
      <c r="AV25" s="226"/>
    </row>
    <row r="26" spans="1:48" ht="102" customHeight="1" x14ac:dyDescent="0.2">
      <c r="A26" s="225"/>
      <c r="B26" s="226"/>
      <c r="C26" s="226"/>
      <c r="D26" s="227"/>
      <c r="E26" s="226"/>
      <c r="F26" s="226"/>
      <c r="G26" s="226"/>
      <c r="H26" s="226"/>
      <c r="I26" s="226"/>
      <c r="J26" s="226"/>
      <c r="K26" s="226"/>
      <c r="L26" s="156">
        <v>1</v>
      </c>
      <c r="M26" s="228"/>
      <c r="N26" s="157" t="s">
        <v>467</v>
      </c>
      <c r="O26" s="226"/>
      <c r="P26" s="229"/>
      <c r="Q26" s="226"/>
      <c r="R26" s="229"/>
      <c r="S26" s="226"/>
      <c r="T26" s="226"/>
      <c r="U26" s="226"/>
      <c r="V26" s="226"/>
      <c r="W26" s="226"/>
      <c r="X26" s="229"/>
      <c r="Y26" s="226"/>
      <c r="Z26" s="226"/>
      <c r="AA26" s="226"/>
      <c r="AB26" s="226"/>
      <c r="AC26" s="226"/>
      <c r="AD26" s="226"/>
      <c r="AE26" s="226"/>
      <c r="AF26" s="227"/>
      <c r="AG26" s="230"/>
      <c r="AH26" s="230"/>
      <c r="AI26" s="230"/>
      <c r="AJ26" s="230"/>
      <c r="AK26" s="230"/>
      <c r="AL26" s="230"/>
      <c r="AM26" s="230"/>
      <c r="AN26" s="230"/>
      <c r="AO26" s="230"/>
      <c r="AP26" s="231"/>
      <c r="AQ26" s="231"/>
      <c r="AR26" s="226"/>
      <c r="AS26" s="226"/>
      <c r="AT26" s="226"/>
      <c r="AU26" s="226"/>
      <c r="AV26" s="226"/>
    </row>
    <row r="27" spans="1:48" ht="138" customHeight="1" x14ac:dyDescent="0.2">
      <c r="A27" s="162">
        <v>2</v>
      </c>
      <c r="B27" s="163" t="s">
        <v>5</v>
      </c>
      <c r="C27" s="163" t="s">
        <v>453</v>
      </c>
      <c r="D27" s="164" t="s">
        <v>454</v>
      </c>
      <c r="E27" s="163" t="s">
        <v>35</v>
      </c>
      <c r="F27" s="163" t="s">
        <v>35</v>
      </c>
      <c r="G27" s="163" t="s">
        <v>35</v>
      </c>
      <c r="H27" s="163" t="s">
        <v>35</v>
      </c>
      <c r="I27" s="163" t="s">
        <v>35</v>
      </c>
      <c r="J27" s="163" t="s">
        <v>35</v>
      </c>
      <c r="K27" s="163" t="s">
        <v>35</v>
      </c>
      <c r="L27" s="163" t="s">
        <v>35</v>
      </c>
      <c r="M27" s="165" t="s">
        <v>468</v>
      </c>
      <c r="N27" s="165" t="s">
        <v>469</v>
      </c>
      <c r="O27" s="163" t="s">
        <v>180</v>
      </c>
      <c r="P27" s="166">
        <f>328300/1.2/1000</f>
        <v>273.58333333333337</v>
      </c>
      <c r="Q27" s="163" t="s">
        <v>457</v>
      </c>
      <c r="R27" s="166">
        <f>328300/1.2/1000</f>
        <v>273.58333333333337</v>
      </c>
      <c r="S27" s="232" t="s">
        <v>470</v>
      </c>
      <c r="T27" s="232"/>
      <c r="U27" s="163" t="s">
        <v>35</v>
      </c>
      <c r="V27" s="163" t="s">
        <v>35</v>
      </c>
      <c r="W27" s="163" t="s">
        <v>35</v>
      </c>
      <c r="X27" s="166" t="s">
        <v>35</v>
      </c>
      <c r="Y27" s="163" t="s">
        <v>35</v>
      </c>
      <c r="Z27" s="163" t="s">
        <v>35</v>
      </c>
      <c r="AA27" s="163" t="s">
        <v>35</v>
      </c>
      <c r="AB27" s="166">
        <f>328300/1.2/1000</f>
        <v>273.58333333333337</v>
      </c>
      <c r="AC27" s="163" t="s">
        <v>471</v>
      </c>
      <c r="AD27" s="166">
        <f>328300/1000</f>
        <v>328.3</v>
      </c>
      <c r="AE27" s="166">
        <f t="shared" ref="AE27:AE57" si="0">AD27</f>
        <v>328.3</v>
      </c>
      <c r="AF27" s="163">
        <v>32312694215</v>
      </c>
      <c r="AG27" s="167" t="s">
        <v>472</v>
      </c>
      <c r="AH27" s="168" t="s">
        <v>35</v>
      </c>
      <c r="AI27" s="168" t="s">
        <v>35</v>
      </c>
      <c r="AJ27" s="163" t="s">
        <v>35</v>
      </c>
      <c r="AK27" s="163" t="s">
        <v>35</v>
      </c>
      <c r="AL27" s="163" t="s">
        <v>473</v>
      </c>
      <c r="AM27" s="163" t="s">
        <v>474</v>
      </c>
      <c r="AN27" s="168">
        <v>45160</v>
      </c>
      <c r="AO27" s="163" t="s">
        <v>475</v>
      </c>
      <c r="AP27" s="163" t="s">
        <v>35</v>
      </c>
      <c r="AQ27" s="168">
        <v>45160</v>
      </c>
      <c r="AR27" s="168">
        <v>45291</v>
      </c>
      <c r="AS27" s="168">
        <v>45291</v>
      </c>
      <c r="AT27" s="168">
        <v>45182</v>
      </c>
      <c r="AU27" s="163"/>
      <c r="AV27" s="163"/>
    </row>
    <row r="28" spans="1:48" ht="34.5" customHeight="1" x14ac:dyDescent="0.2">
      <c r="A28" s="225">
        <v>3</v>
      </c>
      <c r="B28" s="226" t="s">
        <v>5</v>
      </c>
      <c r="C28" s="226" t="s">
        <v>453</v>
      </c>
      <c r="D28" s="227" t="s">
        <v>454</v>
      </c>
      <c r="E28" s="226" t="s">
        <v>35</v>
      </c>
      <c r="F28" s="226" t="s">
        <v>35</v>
      </c>
      <c r="G28" s="226" t="s">
        <v>35</v>
      </c>
      <c r="H28" s="226" t="s">
        <v>35</v>
      </c>
      <c r="I28" s="226" t="s">
        <v>35</v>
      </c>
      <c r="J28" s="226" t="s">
        <v>35</v>
      </c>
      <c r="K28" s="226" t="s">
        <v>35</v>
      </c>
      <c r="L28" s="226" t="s">
        <v>35</v>
      </c>
      <c r="M28" s="228" t="s">
        <v>476</v>
      </c>
      <c r="N28" s="157" t="s">
        <v>477</v>
      </c>
      <c r="O28" s="156" t="s">
        <v>180</v>
      </c>
      <c r="P28" s="158">
        <f>3696.24/1.2/1000</f>
        <v>3.0801999999999996</v>
      </c>
      <c r="Q28" s="226" t="s">
        <v>457</v>
      </c>
      <c r="R28" s="158">
        <f t="shared" ref="R28:R57" si="1">P28</f>
        <v>3.0801999999999996</v>
      </c>
      <c r="S28" s="226" t="s">
        <v>470</v>
      </c>
      <c r="T28" s="226"/>
      <c r="U28" s="226" t="s">
        <v>35</v>
      </c>
      <c r="V28" s="226" t="s">
        <v>35</v>
      </c>
      <c r="W28" s="226" t="s">
        <v>35</v>
      </c>
      <c r="X28" s="229" t="s">
        <v>35</v>
      </c>
      <c r="Y28" s="226" t="s">
        <v>35</v>
      </c>
      <c r="Z28" s="226" t="s">
        <v>35</v>
      </c>
      <c r="AA28" s="226" t="s">
        <v>35</v>
      </c>
      <c r="AB28" s="158">
        <f t="shared" ref="AB28:AB57" si="2">R28</f>
        <v>3.0801999999999996</v>
      </c>
      <c r="AC28" s="226" t="s">
        <v>471</v>
      </c>
      <c r="AD28" s="158">
        <f>3696.24/1000</f>
        <v>3.69624</v>
      </c>
      <c r="AE28" s="158">
        <f t="shared" si="0"/>
        <v>3.69624</v>
      </c>
      <c r="AF28" s="226">
        <v>32312706935</v>
      </c>
      <c r="AG28" s="230" t="s">
        <v>472</v>
      </c>
      <c r="AH28" s="231" t="s">
        <v>35</v>
      </c>
      <c r="AI28" s="231" t="s">
        <v>35</v>
      </c>
      <c r="AJ28" s="226" t="s">
        <v>35</v>
      </c>
      <c r="AK28" s="226" t="s">
        <v>35</v>
      </c>
      <c r="AL28" s="226" t="s">
        <v>473</v>
      </c>
      <c r="AM28" s="226" t="s">
        <v>474</v>
      </c>
      <c r="AN28" s="231">
        <v>45163</v>
      </c>
      <c r="AO28" s="226" t="s">
        <v>478</v>
      </c>
      <c r="AP28" s="226" t="s">
        <v>35</v>
      </c>
      <c r="AQ28" s="231">
        <v>45163</v>
      </c>
      <c r="AR28" s="231">
        <v>45291</v>
      </c>
      <c r="AS28" s="231">
        <v>45291</v>
      </c>
      <c r="AT28" s="231">
        <v>45188</v>
      </c>
      <c r="AU28" s="226" t="s">
        <v>35</v>
      </c>
      <c r="AV28" s="226" t="s">
        <v>35</v>
      </c>
    </row>
    <row r="29" spans="1:48" ht="34.5" customHeight="1" x14ac:dyDescent="0.2">
      <c r="A29" s="225"/>
      <c r="B29" s="226"/>
      <c r="C29" s="226"/>
      <c r="D29" s="227"/>
      <c r="E29" s="226"/>
      <c r="F29" s="226"/>
      <c r="G29" s="226"/>
      <c r="H29" s="226"/>
      <c r="I29" s="226"/>
      <c r="J29" s="226"/>
      <c r="K29" s="226"/>
      <c r="L29" s="226"/>
      <c r="M29" s="228"/>
      <c r="N29" s="157" t="s">
        <v>479</v>
      </c>
      <c r="O29" s="169"/>
      <c r="P29" s="158">
        <f>13264.23/1.2/1000</f>
        <v>11.053525</v>
      </c>
      <c r="Q29" s="226"/>
      <c r="R29" s="158">
        <f t="shared" si="1"/>
        <v>11.053525</v>
      </c>
      <c r="S29" s="226"/>
      <c r="T29" s="226"/>
      <c r="U29" s="226"/>
      <c r="V29" s="226"/>
      <c r="W29" s="226"/>
      <c r="X29" s="229"/>
      <c r="Y29" s="226"/>
      <c r="Z29" s="226"/>
      <c r="AA29" s="226"/>
      <c r="AB29" s="158">
        <f t="shared" si="2"/>
        <v>11.053525</v>
      </c>
      <c r="AC29" s="226"/>
      <c r="AD29" s="158">
        <f>13264.23/1000</f>
        <v>13.26423</v>
      </c>
      <c r="AE29" s="158">
        <f t="shared" si="0"/>
        <v>13.26423</v>
      </c>
      <c r="AF29" s="226"/>
      <c r="AG29" s="230"/>
      <c r="AH29" s="231"/>
      <c r="AI29" s="231"/>
      <c r="AJ29" s="226"/>
      <c r="AK29" s="226"/>
      <c r="AL29" s="226"/>
      <c r="AM29" s="226"/>
      <c r="AN29" s="231"/>
      <c r="AO29" s="226"/>
      <c r="AP29" s="226"/>
      <c r="AQ29" s="231"/>
      <c r="AR29" s="231"/>
      <c r="AS29" s="231"/>
      <c r="AT29" s="231"/>
      <c r="AU29" s="226"/>
      <c r="AV29" s="226"/>
    </row>
    <row r="30" spans="1:48" ht="76.5" customHeight="1" x14ac:dyDescent="0.2">
      <c r="A30" s="225"/>
      <c r="B30" s="226"/>
      <c r="C30" s="226"/>
      <c r="D30" s="227"/>
      <c r="E30" s="226"/>
      <c r="F30" s="226"/>
      <c r="G30" s="226"/>
      <c r="H30" s="226"/>
      <c r="I30" s="226"/>
      <c r="J30" s="226"/>
      <c r="K30" s="226"/>
      <c r="L30" s="226"/>
      <c r="M30" s="157" t="s">
        <v>480</v>
      </c>
      <c r="N30" s="157" t="s">
        <v>481</v>
      </c>
      <c r="O30" s="169"/>
      <c r="P30" s="158">
        <f>340.36/1.2/1000</f>
        <v>0.2836333333333334</v>
      </c>
      <c r="Q30" s="226"/>
      <c r="R30" s="158">
        <f t="shared" si="1"/>
        <v>0.2836333333333334</v>
      </c>
      <c r="S30" s="226"/>
      <c r="T30" s="226"/>
      <c r="U30" s="226"/>
      <c r="V30" s="226"/>
      <c r="W30" s="226"/>
      <c r="X30" s="229"/>
      <c r="Y30" s="226"/>
      <c r="Z30" s="226"/>
      <c r="AA30" s="226"/>
      <c r="AB30" s="158">
        <f t="shared" si="2"/>
        <v>0.2836333333333334</v>
      </c>
      <c r="AC30" s="226"/>
      <c r="AD30" s="158">
        <f>340.36/1000</f>
        <v>0.34036</v>
      </c>
      <c r="AE30" s="158">
        <f t="shared" si="0"/>
        <v>0.34036</v>
      </c>
      <c r="AF30" s="226"/>
      <c r="AG30" s="230"/>
      <c r="AH30" s="231"/>
      <c r="AI30" s="231"/>
      <c r="AJ30" s="226"/>
      <c r="AK30" s="226"/>
      <c r="AL30" s="226"/>
      <c r="AM30" s="226"/>
      <c r="AN30" s="231"/>
      <c r="AO30" s="226"/>
      <c r="AP30" s="226"/>
      <c r="AQ30" s="231"/>
      <c r="AR30" s="231"/>
      <c r="AS30" s="231"/>
      <c r="AT30" s="231"/>
      <c r="AU30" s="226"/>
      <c r="AV30" s="226"/>
    </row>
    <row r="31" spans="1:48" ht="63.75" customHeight="1" x14ac:dyDescent="0.2">
      <c r="A31" s="225"/>
      <c r="B31" s="226"/>
      <c r="C31" s="226"/>
      <c r="D31" s="227"/>
      <c r="E31" s="226"/>
      <c r="F31" s="226"/>
      <c r="G31" s="226"/>
      <c r="H31" s="226"/>
      <c r="I31" s="226"/>
      <c r="J31" s="226"/>
      <c r="K31" s="226"/>
      <c r="L31" s="226"/>
      <c r="M31" s="228" t="s">
        <v>482</v>
      </c>
      <c r="N31" s="157" t="s">
        <v>483</v>
      </c>
      <c r="O31" s="169"/>
      <c r="P31" s="158">
        <f>3289.76/1.2/1000</f>
        <v>2.7414666666666672</v>
      </c>
      <c r="Q31" s="226"/>
      <c r="R31" s="158">
        <f t="shared" si="1"/>
        <v>2.7414666666666672</v>
      </c>
      <c r="S31" s="226"/>
      <c r="T31" s="226"/>
      <c r="U31" s="226"/>
      <c r="V31" s="226"/>
      <c r="W31" s="226"/>
      <c r="X31" s="229"/>
      <c r="Y31" s="226"/>
      <c r="Z31" s="226"/>
      <c r="AA31" s="226"/>
      <c r="AB31" s="158">
        <f t="shared" si="2"/>
        <v>2.7414666666666672</v>
      </c>
      <c r="AC31" s="226"/>
      <c r="AD31" s="158">
        <f>3289.76/1000</f>
        <v>3.2897600000000002</v>
      </c>
      <c r="AE31" s="158">
        <f t="shared" si="0"/>
        <v>3.2897600000000002</v>
      </c>
      <c r="AF31" s="226"/>
      <c r="AG31" s="230"/>
      <c r="AH31" s="231"/>
      <c r="AI31" s="231"/>
      <c r="AJ31" s="226"/>
      <c r="AK31" s="226"/>
      <c r="AL31" s="226"/>
      <c r="AM31" s="226"/>
      <c r="AN31" s="231"/>
      <c r="AO31" s="226"/>
      <c r="AP31" s="226"/>
      <c r="AQ31" s="231"/>
      <c r="AR31" s="231"/>
      <c r="AS31" s="231"/>
      <c r="AT31" s="231"/>
      <c r="AU31" s="226"/>
      <c r="AV31" s="226"/>
    </row>
    <row r="32" spans="1:48" ht="38.25" x14ac:dyDescent="0.2">
      <c r="A32" s="225"/>
      <c r="B32" s="226"/>
      <c r="C32" s="226"/>
      <c r="D32" s="227"/>
      <c r="E32" s="226"/>
      <c r="F32" s="226"/>
      <c r="G32" s="226"/>
      <c r="H32" s="226"/>
      <c r="I32" s="226"/>
      <c r="J32" s="226"/>
      <c r="K32" s="226"/>
      <c r="L32" s="226"/>
      <c r="M32" s="228"/>
      <c r="N32" s="157" t="s">
        <v>484</v>
      </c>
      <c r="O32" s="169"/>
      <c r="P32" s="158">
        <f>40990.95/1.2/1000</f>
        <v>34.159125000000003</v>
      </c>
      <c r="Q32" s="226"/>
      <c r="R32" s="158">
        <f t="shared" si="1"/>
        <v>34.159125000000003</v>
      </c>
      <c r="S32" s="226"/>
      <c r="T32" s="226"/>
      <c r="U32" s="226"/>
      <c r="V32" s="226"/>
      <c r="W32" s="226"/>
      <c r="X32" s="229"/>
      <c r="Y32" s="226"/>
      <c r="Z32" s="226"/>
      <c r="AA32" s="226"/>
      <c r="AB32" s="158">
        <f t="shared" si="2"/>
        <v>34.159125000000003</v>
      </c>
      <c r="AC32" s="226"/>
      <c r="AD32" s="158">
        <f>40990.95/1000</f>
        <v>40.990949999999998</v>
      </c>
      <c r="AE32" s="158">
        <f t="shared" si="0"/>
        <v>40.990949999999998</v>
      </c>
      <c r="AF32" s="226"/>
      <c r="AG32" s="230"/>
      <c r="AH32" s="231"/>
      <c r="AI32" s="231"/>
      <c r="AJ32" s="226"/>
      <c r="AK32" s="226"/>
      <c r="AL32" s="226"/>
      <c r="AM32" s="226"/>
      <c r="AN32" s="231"/>
      <c r="AO32" s="226"/>
      <c r="AP32" s="226"/>
      <c r="AQ32" s="231"/>
      <c r="AR32" s="231"/>
      <c r="AS32" s="231"/>
      <c r="AT32" s="231"/>
      <c r="AU32" s="226"/>
      <c r="AV32" s="226"/>
    </row>
    <row r="33" spans="1:48" ht="25.5" x14ac:dyDescent="0.2">
      <c r="A33" s="225"/>
      <c r="B33" s="226"/>
      <c r="C33" s="226"/>
      <c r="D33" s="227"/>
      <c r="E33" s="226"/>
      <c r="F33" s="226"/>
      <c r="G33" s="226"/>
      <c r="H33" s="226"/>
      <c r="I33" s="226"/>
      <c r="J33" s="226"/>
      <c r="K33" s="226"/>
      <c r="L33" s="226"/>
      <c r="M33" s="228"/>
      <c r="N33" s="157" t="s">
        <v>485</v>
      </c>
      <c r="O33" s="169"/>
      <c r="P33" s="158">
        <f>136269.8/1.2/1000</f>
        <v>113.55816666666665</v>
      </c>
      <c r="Q33" s="226"/>
      <c r="R33" s="158">
        <f t="shared" si="1"/>
        <v>113.55816666666665</v>
      </c>
      <c r="S33" s="226"/>
      <c r="T33" s="226"/>
      <c r="U33" s="226"/>
      <c r="V33" s="226"/>
      <c r="W33" s="226"/>
      <c r="X33" s="229"/>
      <c r="Y33" s="226"/>
      <c r="Z33" s="226"/>
      <c r="AA33" s="226"/>
      <c r="AB33" s="158">
        <f t="shared" si="2"/>
        <v>113.55816666666665</v>
      </c>
      <c r="AC33" s="226"/>
      <c r="AD33" s="158">
        <f>136269.8/1000</f>
        <v>136.26979999999998</v>
      </c>
      <c r="AE33" s="158">
        <f t="shared" si="0"/>
        <v>136.26979999999998</v>
      </c>
      <c r="AF33" s="226"/>
      <c r="AG33" s="230"/>
      <c r="AH33" s="231"/>
      <c r="AI33" s="231"/>
      <c r="AJ33" s="226"/>
      <c r="AK33" s="226"/>
      <c r="AL33" s="226"/>
      <c r="AM33" s="226"/>
      <c r="AN33" s="231"/>
      <c r="AO33" s="226"/>
      <c r="AP33" s="226"/>
      <c r="AQ33" s="231"/>
      <c r="AR33" s="231"/>
      <c r="AS33" s="231"/>
      <c r="AT33" s="231"/>
      <c r="AU33" s="226"/>
      <c r="AV33" s="226"/>
    </row>
    <row r="34" spans="1:48" ht="24.75" customHeight="1" x14ac:dyDescent="0.2">
      <c r="A34" s="225"/>
      <c r="B34" s="226"/>
      <c r="C34" s="226"/>
      <c r="D34" s="227"/>
      <c r="E34" s="226"/>
      <c r="F34" s="226"/>
      <c r="G34" s="226"/>
      <c r="H34" s="226"/>
      <c r="I34" s="226"/>
      <c r="J34" s="226"/>
      <c r="K34" s="226"/>
      <c r="L34" s="226"/>
      <c r="M34" s="228"/>
      <c r="N34" s="157" t="s">
        <v>486</v>
      </c>
      <c r="O34" s="169"/>
      <c r="P34" s="158">
        <f>40896/1.2/1000</f>
        <v>34.08</v>
      </c>
      <c r="Q34" s="226"/>
      <c r="R34" s="158">
        <f t="shared" si="1"/>
        <v>34.08</v>
      </c>
      <c r="S34" s="226"/>
      <c r="T34" s="226"/>
      <c r="U34" s="226"/>
      <c r="V34" s="226"/>
      <c r="W34" s="226"/>
      <c r="X34" s="229"/>
      <c r="Y34" s="226"/>
      <c r="Z34" s="226"/>
      <c r="AA34" s="226"/>
      <c r="AB34" s="158">
        <f t="shared" si="2"/>
        <v>34.08</v>
      </c>
      <c r="AC34" s="226"/>
      <c r="AD34" s="158">
        <f>40896/1000</f>
        <v>40.896000000000001</v>
      </c>
      <c r="AE34" s="158">
        <f t="shared" si="0"/>
        <v>40.896000000000001</v>
      </c>
      <c r="AF34" s="226"/>
      <c r="AG34" s="230"/>
      <c r="AH34" s="231"/>
      <c r="AI34" s="231"/>
      <c r="AJ34" s="226"/>
      <c r="AK34" s="226"/>
      <c r="AL34" s="226"/>
      <c r="AM34" s="226"/>
      <c r="AN34" s="231"/>
      <c r="AO34" s="226"/>
      <c r="AP34" s="226"/>
      <c r="AQ34" s="231"/>
      <c r="AR34" s="231"/>
      <c r="AS34" s="231"/>
      <c r="AT34" s="231"/>
      <c r="AU34" s="226"/>
      <c r="AV34" s="226"/>
    </row>
    <row r="35" spans="1:48" ht="24.75" customHeight="1" x14ac:dyDescent="0.2">
      <c r="A35" s="225"/>
      <c r="B35" s="226"/>
      <c r="C35" s="226"/>
      <c r="D35" s="227"/>
      <c r="E35" s="226"/>
      <c r="F35" s="226"/>
      <c r="G35" s="226"/>
      <c r="H35" s="226"/>
      <c r="I35" s="226"/>
      <c r="J35" s="226"/>
      <c r="K35" s="226"/>
      <c r="L35" s="226"/>
      <c r="M35" s="228"/>
      <c r="N35" s="157" t="s">
        <v>487</v>
      </c>
      <c r="O35" s="169"/>
      <c r="P35" s="158">
        <f>87192/1.2/1000</f>
        <v>72.66</v>
      </c>
      <c r="Q35" s="226"/>
      <c r="R35" s="158">
        <f t="shared" si="1"/>
        <v>72.66</v>
      </c>
      <c r="S35" s="226"/>
      <c r="T35" s="226"/>
      <c r="U35" s="226"/>
      <c r="V35" s="226"/>
      <c r="W35" s="226"/>
      <c r="X35" s="229"/>
      <c r="Y35" s="226"/>
      <c r="Z35" s="226"/>
      <c r="AA35" s="226"/>
      <c r="AB35" s="158">
        <f t="shared" si="2"/>
        <v>72.66</v>
      </c>
      <c r="AC35" s="226"/>
      <c r="AD35" s="158">
        <f>87192/1000</f>
        <v>87.191999999999993</v>
      </c>
      <c r="AE35" s="158">
        <f t="shared" si="0"/>
        <v>87.191999999999993</v>
      </c>
      <c r="AF35" s="226"/>
      <c r="AG35" s="230"/>
      <c r="AH35" s="231"/>
      <c r="AI35" s="231"/>
      <c r="AJ35" s="226"/>
      <c r="AK35" s="226"/>
      <c r="AL35" s="226"/>
      <c r="AM35" s="226"/>
      <c r="AN35" s="231"/>
      <c r="AO35" s="226"/>
      <c r="AP35" s="226"/>
      <c r="AQ35" s="231"/>
      <c r="AR35" s="231"/>
      <c r="AS35" s="231"/>
      <c r="AT35" s="231"/>
      <c r="AU35" s="226"/>
      <c r="AV35" s="226"/>
    </row>
    <row r="36" spans="1:48" ht="27.75" customHeight="1" x14ac:dyDescent="0.2">
      <c r="A36" s="225"/>
      <c r="B36" s="226"/>
      <c r="C36" s="226"/>
      <c r="D36" s="227"/>
      <c r="E36" s="226"/>
      <c r="F36" s="226"/>
      <c r="G36" s="226"/>
      <c r="H36" s="226"/>
      <c r="I36" s="226"/>
      <c r="J36" s="226"/>
      <c r="K36" s="226"/>
      <c r="L36" s="226"/>
      <c r="M36" s="228"/>
      <c r="N36" s="157" t="s">
        <v>488</v>
      </c>
      <c r="O36" s="169"/>
      <c r="P36" s="158">
        <f>21054/1.2/1000</f>
        <v>17.545000000000002</v>
      </c>
      <c r="Q36" s="226"/>
      <c r="R36" s="158">
        <f t="shared" si="1"/>
        <v>17.545000000000002</v>
      </c>
      <c r="S36" s="226"/>
      <c r="T36" s="226"/>
      <c r="U36" s="226"/>
      <c r="V36" s="226"/>
      <c r="W36" s="226"/>
      <c r="X36" s="229"/>
      <c r="Y36" s="226"/>
      <c r="Z36" s="226"/>
      <c r="AA36" s="226"/>
      <c r="AB36" s="158">
        <f t="shared" si="2"/>
        <v>17.545000000000002</v>
      </c>
      <c r="AC36" s="226"/>
      <c r="AD36" s="158">
        <f>21054/1000</f>
        <v>21.053999999999998</v>
      </c>
      <c r="AE36" s="158">
        <f t="shared" si="0"/>
        <v>21.053999999999998</v>
      </c>
      <c r="AF36" s="226"/>
      <c r="AG36" s="230"/>
      <c r="AH36" s="231"/>
      <c r="AI36" s="231"/>
      <c r="AJ36" s="226"/>
      <c r="AK36" s="226"/>
      <c r="AL36" s="226"/>
      <c r="AM36" s="226"/>
      <c r="AN36" s="231"/>
      <c r="AO36" s="226"/>
      <c r="AP36" s="226"/>
      <c r="AQ36" s="231"/>
      <c r="AR36" s="231"/>
      <c r="AS36" s="231"/>
      <c r="AT36" s="231"/>
      <c r="AU36" s="226"/>
      <c r="AV36" s="226"/>
    </row>
    <row r="37" spans="1:48" ht="53.25" customHeight="1" x14ac:dyDescent="0.2">
      <c r="A37" s="225"/>
      <c r="B37" s="226"/>
      <c r="C37" s="226"/>
      <c r="D37" s="227"/>
      <c r="E37" s="226"/>
      <c r="F37" s="226"/>
      <c r="G37" s="226"/>
      <c r="H37" s="226"/>
      <c r="I37" s="226"/>
      <c r="J37" s="226"/>
      <c r="K37" s="226"/>
      <c r="L37" s="226"/>
      <c r="M37" s="228" t="s">
        <v>489</v>
      </c>
      <c r="N37" s="157" t="s">
        <v>490</v>
      </c>
      <c r="O37" s="169"/>
      <c r="P37" s="158">
        <f>386799/1.2/1000</f>
        <v>322.33249999999998</v>
      </c>
      <c r="Q37" s="226"/>
      <c r="R37" s="158">
        <f t="shared" si="1"/>
        <v>322.33249999999998</v>
      </c>
      <c r="S37" s="226"/>
      <c r="T37" s="226"/>
      <c r="U37" s="226"/>
      <c r="V37" s="226"/>
      <c r="W37" s="226"/>
      <c r="X37" s="229"/>
      <c r="Y37" s="226"/>
      <c r="Z37" s="226"/>
      <c r="AA37" s="226"/>
      <c r="AB37" s="158">
        <f t="shared" si="2"/>
        <v>322.33249999999998</v>
      </c>
      <c r="AC37" s="226"/>
      <c r="AD37" s="158">
        <f>386799/1000</f>
        <v>386.79899999999998</v>
      </c>
      <c r="AE37" s="158">
        <f t="shared" si="0"/>
        <v>386.79899999999998</v>
      </c>
      <c r="AF37" s="226"/>
      <c r="AG37" s="230"/>
      <c r="AH37" s="231"/>
      <c r="AI37" s="231"/>
      <c r="AJ37" s="226"/>
      <c r="AK37" s="226"/>
      <c r="AL37" s="226"/>
      <c r="AM37" s="226"/>
      <c r="AN37" s="231"/>
      <c r="AO37" s="226"/>
      <c r="AP37" s="226"/>
      <c r="AQ37" s="231"/>
      <c r="AR37" s="231"/>
      <c r="AS37" s="231"/>
      <c r="AT37" s="231"/>
      <c r="AU37" s="226"/>
      <c r="AV37" s="226"/>
    </row>
    <row r="38" spans="1:48" ht="53.25" customHeight="1" x14ac:dyDescent="0.2">
      <c r="A38" s="225"/>
      <c r="B38" s="226"/>
      <c r="C38" s="226"/>
      <c r="D38" s="227"/>
      <c r="E38" s="226"/>
      <c r="F38" s="226"/>
      <c r="G38" s="226"/>
      <c r="H38" s="226"/>
      <c r="I38" s="226"/>
      <c r="J38" s="226"/>
      <c r="K38" s="226"/>
      <c r="L38" s="226"/>
      <c r="M38" s="228"/>
      <c r="N38" s="157" t="s">
        <v>491</v>
      </c>
      <c r="O38" s="169"/>
      <c r="P38" s="158">
        <f>98830.8/1.2/1000</f>
        <v>82.358999999999995</v>
      </c>
      <c r="Q38" s="226"/>
      <c r="R38" s="158">
        <f t="shared" si="1"/>
        <v>82.358999999999995</v>
      </c>
      <c r="S38" s="226"/>
      <c r="T38" s="226"/>
      <c r="U38" s="226"/>
      <c r="V38" s="226"/>
      <c r="W38" s="226"/>
      <c r="X38" s="229"/>
      <c r="Y38" s="226"/>
      <c r="Z38" s="226"/>
      <c r="AA38" s="226"/>
      <c r="AB38" s="158">
        <f t="shared" si="2"/>
        <v>82.358999999999995</v>
      </c>
      <c r="AC38" s="226"/>
      <c r="AD38" s="158">
        <f>98830.8/1000</f>
        <v>98.830799999999996</v>
      </c>
      <c r="AE38" s="158">
        <f t="shared" si="0"/>
        <v>98.830799999999996</v>
      </c>
      <c r="AF38" s="226"/>
      <c r="AG38" s="230"/>
      <c r="AH38" s="231"/>
      <c r="AI38" s="231"/>
      <c r="AJ38" s="226"/>
      <c r="AK38" s="226"/>
      <c r="AL38" s="226"/>
      <c r="AM38" s="226"/>
      <c r="AN38" s="231"/>
      <c r="AO38" s="226"/>
      <c r="AP38" s="226"/>
      <c r="AQ38" s="231"/>
      <c r="AR38" s="231"/>
      <c r="AS38" s="231"/>
      <c r="AT38" s="231"/>
      <c r="AU38" s="226"/>
      <c r="AV38" s="226"/>
    </row>
    <row r="39" spans="1:48" ht="89.25" x14ac:dyDescent="0.2">
      <c r="A39" s="225"/>
      <c r="B39" s="226"/>
      <c r="C39" s="226"/>
      <c r="D39" s="227"/>
      <c r="E39" s="226"/>
      <c r="F39" s="226"/>
      <c r="G39" s="226"/>
      <c r="H39" s="226"/>
      <c r="I39" s="226"/>
      <c r="J39" s="226"/>
      <c r="K39" s="226"/>
      <c r="L39" s="226"/>
      <c r="M39" s="157" t="s">
        <v>492</v>
      </c>
      <c r="N39" s="157" t="s">
        <v>493</v>
      </c>
      <c r="O39" s="169"/>
      <c r="P39" s="158">
        <f>132912/1.2/1000</f>
        <v>110.76</v>
      </c>
      <c r="Q39" s="226"/>
      <c r="R39" s="158">
        <f t="shared" si="1"/>
        <v>110.76</v>
      </c>
      <c r="S39" s="226"/>
      <c r="T39" s="226"/>
      <c r="U39" s="226"/>
      <c r="V39" s="226"/>
      <c r="W39" s="226"/>
      <c r="X39" s="229"/>
      <c r="Y39" s="226"/>
      <c r="Z39" s="226"/>
      <c r="AA39" s="226"/>
      <c r="AB39" s="158">
        <f t="shared" si="2"/>
        <v>110.76</v>
      </c>
      <c r="AC39" s="226"/>
      <c r="AD39" s="158">
        <f>132912/1000</f>
        <v>132.91200000000001</v>
      </c>
      <c r="AE39" s="158">
        <f t="shared" si="0"/>
        <v>132.91200000000001</v>
      </c>
      <c r="AF39" s="226"/>
      <c r="AG39" s="230"/>
      <c r="AH39" s="231"/>
      <c r="AI39" s="231"/>
      <c r="AJ39" s="226"/>
      <c r="AK39" s="226"/>
      <c r="AL39" s="226"/>
      <c r="AM39" s="226"/>
      <c r="AN39" s="231"/>
      <c r="AO39" s="226"/>
      <c r="AP39" s="226"/>
      <c r="AQ39" s="231"/>
      <c r="AR39" s="231"/>
      <c r="AS39" s="231"/>
      <c r="AT39" s="231"/>
      <c r="AU39" s="226"/>
      <c r="AV39" s="226"/>
    </row>
    <row r="40" spans="1:48" ht="41.25" customHeight="1" x14ac:dyDescent="0.2">
      <c r="A40" s="225"/>
      <c r="B40" s="226"/>
      <c r="C40" s="226"/>
      <c r="D40" s="227"/>
      <c r="E40" s="226"/>
      <c r="F40" s="226"/>
      <c r="G40" s="226"/>
      <c r="H40" s="226"/>
      <c r="I40" s="226"/>
      <c r="J40" s="226"/>
      <c r="K40" s="226"/>
      <c r="L40" s="226"/>
      <c r="M40" s="157" t="s">
        <v>494</v>
      </c>
      <c r="N40" s="157" t="s">
        <v>495</v>
      </c>
      <c r="O40" s="169"/>
      <c r="P40" s="158">
        <f>29156.4/1.2/1000</f>
        <v>24.297000000000004</v>
      </c>
      <c r="Q40" s="226"/>
      <c r="R40" s="158">
        <f t="shared" si="1"/>
        <v>24.297000000000004</v>
      </c>
      <c r="S40" s="226"/>
      <c r="T40" s="226"/>
      <c r="U40" s="226"/>
      <c r="V40" s="226"/>
      <c r="W40" s="226"/>
      <c r="X40" s="229"/>
      <c r="Y40" s="226"/>
      <c r="Z40" s="226"/>
      <c r="AA40" s="226"/>
      <c r="AB40" s="158">
        <f t="shared" si="2"/>
        <v>24.297000000000004</v>
      </c>
      <c r="AC40" s="226"/>
      <c r="AD40" s="158">
        <f>29156.4/1000</f>
        <v>29.156400000000001</v>
      </c>
      <c r="AE40" s="158">
        <f t="shared" si="0"/>
        <v>29.156400000000001</v>
      </c>
      <c r="AF40" s="226"/>
      <c r="AG40" s="230"/>
      <c r="AH40" s="231"/>
      <c r="AI40" s="231"/>
      <c r="AJ40" s="226"/>
      <c r="AK40" s="226"/>
      <c r="AL40" s="226"/>
      <c r="AM40" s="226"/>
      <c r="AN40" s="231"/>
      <c r="AO40" s="226"/>
      <c r="AP40" s="226"/>
      <c r="AQ40" s="231"/>
      <c r="AR40" s="231"/>
      <c r="AS40" s="231"/>
      <c r="AT40" s="231"/>
      <c r="AU40" s="226"/>
      <c r="AV40" s="226"/>
    </row>
    <row r="41" spans="1:48" ht="140.25" customHeight="1" x14ac:dyDescent="0.2">
      <c r="A41" s="170">
        <v>4</v>
      </c>
      <c r="B41" s="170" t="s">
        <v>5</v>
      </c>
      <c r="C41" s="163" t="s">
        <v>453</v>
      </c>
      <c r="D41" s="171" t="s">
        <v>454</v>
      </c>
      <c r="E41" s="43" t="s">
        <v>35</v>
      </c>
      <c r="F41" s="43" t="s">
        <v>35</v>
      </c>
      <c r="G41" s="43" t="s">
        <v>35</v>
      </c>
      <c r="H41" s="43" t="s">
        <v>35</v>
      </c>
      <c r="I41" s="43" t="s">
        <v>35</v>
      </c>
      <c r="J41" s="43" t="s">
        <v>35</v>
      </c>
      <c r="K41" s="43" t="s">
        <v>35</v>
      </c>
      <c r="L41" s="43" t="s">
        <v>35</v>
      </c>
      <c r="M41" s="165" t="s">
        <v>496</v>
      </c>
      <c r="N41" s="165" t="s">
        <v>497</v>
      </c>
      <c r="O41" s="163" t="s">
        <v>180</v>
      </c>
      <c r="P41" s="166">
        <f>21*16080/1.2/1000</f>
        <v>281.39999999999998</v>
      </c>
      <c r="Q41" s="163" t="s">
        <v>457</v>
      </c>
      <c r="R41" s="166">
        <f t="shared" si="1"/>
        <v>281.39999999999998</v>
      </c>
      <c r="S41" s="232" t="s">
        <v>470</v>
      </c>
      <c r="T41" s="232"/>
      <c r="U41" s="163" t="s">
        <v>35</v>
      </c>
      <c r="V41" s="163" t="s">
        <v>35</v>
      </c>
      <c r="W41" s="163" t="s">
        <v>35</v>
      </c>
      <c r="X41" s="166" t="s">
        <v>35</v>
      </c>
      <c r="Y41" s="163" t="s">
        <v>35</v>
      </c>
      <c r="Z41" s="163" t="s">
        <v>35</v>
      </c>
      <c r="AA41" s="163" t="s">
        <v>35</v>
      </c>
      <c r="AB41" s="166">
        <f t="shared" si="2"/>
        <v>281.39999999999998</v>
      </c>
      <c r="AC41" s="163" t="s">
        <v>498</v>
      </c>
      <c r="AD41" s="166">
        <f>21*16080/1000</f>
        <v>337.68</v>
      </c>
      <c r="AE41" s="166">
        <f t="shared" si="0"/>
        <v>337.68</v>
      </c>
      <c r="AF41" s="170">
        <v>32312707141</v>
      </c>
      <c r="AG41" s="167" t="s">
        <v>472</v>
      </c>
      <c r="AH41" s="168" t="s">
        <v>35</v>
      </c>
      <c r="AI41" s="168" t="s">
        <v>35</v>
      </c>
      <c r="AJ41" s="163" t="s">
        <v>35</v>
      </c>
      <c r="AK41" s="163" t="s">
        <v>35</v>
      </c>
      <c r="AL41" s="163" t="s">
        <v>499</v>
      </c>
      <c r="AM41" s="170" t="s">
        <v>474</v>
      </c>
      <c r="AN41" s="172">
        <v>45163</v>
      </c>
      <c r="AO41" s="172" t="s">
        <v>500</v>
      </c>
      <c r="AP41" s="43" t="s">
        <v>35</v>
      </c>
      <c r="AQ41" s="172">
        <v>45163</v>
      </c>
      <c r="AR41" s="172">
        <v>45291</v>
      </c>
      <c r="AS41" s="172">
        <v>45291</v>
      </c>
      <c r="AT41" s="172">
        <v>45188</v>
      </c>
      <c r="AU41" s="43" t="s">
        <v>35</v>
      </c>
      <c r="AV41" s="43" t="s">
        <v>35</v>
      </c>
    </row>
    <row r="42" spans="1:48" ht="140.25" customHeight="1" x14ac:dyDescent="0.2">
      <c r="A42" s="173">
        <v>5</v>
      </c>
      <c r="B42" s="173" t="s">
        <v>5</v>
      </c>
      <c r="C42" s="156" t="s">
        <v>453</v>
      </c>
      <c r="D42" s="174" t="s">
        <v>454</v>
      </c>
      <c r="E42" s="175" t="s">
        <v>35</v>
      </c>
      <c r="F42" s="175" t="s">
        <v>35</v>
      </c>
      <c r="G42" s="175" t="s">
        <v>35</v>
      </c>
      <c r="H42" s="175" t="s">
        <v>35</v>
      </c>
      <c r="I42" s="175" t="s">
        <v>35</v>
      </c>
      <c r="J42" s="175" t="s">
        <v>35</v>
      </c>
      <c r="K42" s="175" t="s">
        <v>35</v>
      </c>
      <c r="L42" s="175" t="s">
        <v>35</v>
      </c>
      <c r="M42" s="157" t="s">
        <v>501</v>
      </c>
      <c r="N42" s="157" t="s">
        <v>502</v>
      </c>
      <c r="O42" s="156" t="s">
        <v>180</v>
      </c>
      <c r="P42" s="158">
        <f>984900/1.2/1000</f>
        <v>820.75</v>
      </c>
      <c r="Q42" s="156" t="s">
        <v>457</v>
      </c>
      <c r="R42" s="158">
        <f t="shared" si="1"/>
        <v>820.75</v>
      </c>
      <c r="S42" s="226" t="s">
        <v>470</v>
      </c>
      <c r="T42" s="226"/>
      <c r="U42" s="156" t="s">
        <v>35</v>
      </c>
      <c r="V42" s="156" t="s">
        <v>35</v>
      </c>
      <c r="W42" s="156" t="s">
        <v>35</v>
      </c>
      <c r="X42" s="158" t="s">
        <v>35</v>
      </c>
      <c r="Y42" s="156" t="s">
        <v>35</v>
      </c>
      <c r="Z42" s="156" t="s">
        <v>35</v>
      </c>
      <c r="AA42" s="156" t="s">
        <v>35</v>
      </c>
      <c r="AB42" s="158">
        <f t="shared" si="2"/>
        <v>820.75</v>
      </c>
      <c r="AC42" s="156" t="s">
        <v>471</v>
      </c>
      <c r="AD42" s="158">
        <f>984900/1000</f>
        <v>984.9</v>
      </c>
      <c r="AE42" s="158">
        <f t="shared" si="0"/>
        <v>984.9</v>
      </c>
      <c r="AF42" s="173">
        <v>32312714571</v>
      </c>
      <c r="AG42" s="159" t="s">
        <v>472</v>
      </c>
      <c r="AH42" s="160" t="s">
        <v>35</v>
      </c>
      <c r="AI42" s="160" t="s">
        <v>35</v>
      </c>
      <c r="AJ42" s="156" t="s">
        <v>35</v>
      </c>
      <c r="AK42" s="156" t="s">
        <v>35</v>
      </c>
      <c r="AL42" s="156" t="s">
        <v>499</v>
      </c>
      <c r="AM42" s="173" t="s">
        <v>474</v>
      </c>
      <c r="AN42" s="176">
        <v>45167</v>
      </c>
      <c r="AO42" s="176" t="s">
        <v>503</v>
      </c>
      <c r="AP42" s="175" t="s">
        <v>35</v>
      </c>
      <c r="AQ42" s="176">
        <v>45167</v>
      </c>
      <c r="AR42" s="176">
        <v>45291</v>
      </c>
      <c r="AS42" s="176">
        <v>45291</v>
      </c>
      <c r="AT42" s="176">
        <v>45201</v>
      </c>
      <c r="AU42" s="175" t="s">
        <v>35</v>
      </c>
      <c r="AV42" s="175" t="s">
        <v>35</v>
      </c>
    </row>
    <row r="43" spans="1:48" ht="126.75" customHeight="1" x14ac:dyDescent="0.2">
      <c r="A43" s="233">
        <v>6</v>
      </c>
      <c r="B43" s="233" t="s">
        <v>5</v>
      </c>
      <c r="C43" s="232" t="s">
        <v>453</v>
      </c>
      <c r="D43" s="234" t="s">
        <v>454</v>
      </c>
      <c r="E43" s="235" t="s">
        <v>35</v>
      </c>
      <c r="F43" s="235" t="s">
        <v>35</v>
      </c>
      <c r="G43" s="235" t="s">
        <v>35</v>
      </c>
      <c r="H43" s="235" t="s">
        <v>35</v>
      </c>
      <c r="I43" s="235" t="s">
        <v>35</v>
      </c>
      <c r="J43" s="235" t="s">
        <v>35</v>
      </c>
      <c r="K43" s="235" t="s">
        <v>35</v>
      </c>
      <c r="L43" s="235" t="s">
        <v>35</v>
      </c>
      <c r="M43" s="165" t="s">
        <v>501</v>
      </c>
      <c r="N43" s="165" t="s">
        <v>502</v>
      </c>
      <c r="O43" s="232" t="s">
        <v>180</v>
      </c>
      <c r="P43" s="166">
        <f>154301/1.2/1000</f>
        <v>128.58416666666668</v>
      </c>
      <c r="Q43" s="232" t="s">
        <v>457</v>
      </c>
      <c r="R43" s="166">
        <f t="shared" si="1"/>
        <v>128.58416666666668</v>
      </c>
      <c r="S43" s="232" t="s">
        <v>470</v>
      </c>
      <c r="T43" s="232"/>
      <c r="U43" s="163" t="s">
        <v>35</v>
      </c>
      <c r="V43" s="163" t="s">
        <v>35</v>
      </c>
      <c r="W43" s="163" t="s">
        <v>35</v>
      </c>
      <c r="X43" s="166" t="s">
        <v>35</v>
      </c>
      <c r="Y43" s="163" t="s">
        <v>35</v>
      </c>
      <c r="Z43" s="163" t="s">
        <v>35</v>
      </c>
      <c r="AA43" s="163" t="s">
        <v>35</v>
      </c>
      <c r="AB43" s="166">
        <f t="shared" si="2"/>
        <v>128.58416666666668</v>
      </c>
      <c r="AC43" s="232" t="s">
        <v>471</v>
      </c>
      <c r="AD43" s="166">
        <f>154301/1000</f>
        <v>154.30099999999999</v>
      </c>
      <c r="AE43" s="166">
        <f t="shared" si="0"/>
        <v>154.30099999999999</v>
      </c>
      <c r="AF43" s="233">
        <v>32312720770</v>
      </c>
      <c r="AG43" s="236" t="s">
        <v>472</v>
      </c>
      <c r="AH43" s="168" t="s">
        <v>35</v>
      </c>
      <c r="AI43" s="168" t="s">
        <v>35</v>
      </c>
      <c r="AJ43" s="163" t="s">
        <v>35</v>
      </c>
      <c r="AK43" s="163" t="s">
        <v>35</v>
      </c>
      <c r="AL43" s="232" t="s">
        <v>499</v>
      </c>
      <c r="AM43" s="233" t="s">
        <v>474</v>
      </c>
      <c r="AN43" s="237">
        <v>45168</v>
      </c>
      <c r="AO43" s="237" t="s">
        <v>504</v>
      </c>
      <c r="AP43" s="238" t="s">
        <v>35</v>
      </c>
      <c r="AQ43" s="237">
        <v>45168</v>
      </c>
      <c r="AR43" s="237">
        <v>45291</v>
      </c>
      <c r="AS43" s="237">
        <v>45291</v>
      </c>
      <c r="AT43" s="237">
        <v>45202</v>
      </c>
      <c r="AU43" s="238" t="s">
        <v>35</v>
      </c>
      <c r="AV43" s="238" t="s">
        <v>35</v>
      </c>
    </row>
    <row r="44" spans="1:48" ht="46.5" customHeight="1" x14ac:dyDescent="0.2">
      <c r="A44" s="233"/>
      <c r="B44" s="233"/>
      <c r="C44" s="232"/>
      <c r="D44" s="234"/>
      <c r="E44" s="235"/>
      <c r="F44" s="235"/>
      <c r="G44" s="235"/>
      <c r="H44" s="235"/>
      <c r="I44" s="235"/>
      <c r="J44" s="235"/>
      <c r="K44" s="235"/>
      <c r="L44" s="235"/>
      <c r="M44" s="239" t="s">
        <v>482</v>
      </c>
      <c r="N44" s="165" t="s">
        <v>505</v>
      </c>
      <c r="O44" s="232"/>
      <c r="P44" s="166">
        <f>392418.88/1.2/1000</f>
        <v>327.01573333333334</v>
      </c>
      <c r="Q44" s="232"/>
      <c r="R44" s="166">
        <f t="shared" si="1"/>
        <v>327.01573333333334</v>
      </c>
      <c r="S44" s="232"/>
      <c r="T44" s="232"/>
      <c r="U44" s="163" t="s">
        <v>35</v>
      </c>
      <c r="V44" s="163" t="s">
        <v>35</v>
      </c>
      <c r="W44" s="163" t="s">
        <v>35</v>
      </c>
      <c r="X44" s="166" t="s">
        <v>35</v>
      </c>
      <c r="Y44" s="163" t="s">
        <v>35</v>
      </c>
      <c r="Z44" s="163" t="s">
        <v>35</v>
      </c>
      <c r="AA44" s="163" t="s">
        <v>35</v>
      </c>
      <c r="AB44" s="166">
        <f t="shared" si="2"/>
        <v>327.01573333333334</v>
      </c>
      <c r="AC44" s="232"/>
      <c r="AD44" s="166">
        <f>392418.88/1000</f>
        <v>392.41888</v>
      </c>
      <c r="AE44" s="166">
        <f t="shared" si="0"/>
        <v>392.41888</v>
      </c>
      <c r="AF44" s="233"/>
      <c r="AG44" s="236"/>
      <c r="AH44" s="168" t="s">
        <v>35</v>
      </c>
      <c r="AI44" s="168" t="s">
        <v>35</v>
      </c>
      <c r="AJ44" s="163" t="s">
        <v>35</v>
      </c>
      <c r="AK44" s="163" t="s">
        <v>35</v>
      </c>
      <c r="AL44" s="232"/>
      <c r="AM44" s="233"/>
      <c r="AN44" s="237"/>
      <c r="AO44" s="237"/>
      <c r="AP44" s="238"/>
      <c r="AQ44" s="237"/>
      <c r="AR44" s="237"/>
      <c r="AS44" s="237"/>
      <c r="AT44" s="237"/>
      <c r="AU44" s="238"/>
      <c r="AV44" s="238"/>
    </row>
    <row r="45" spans="1:48" ht="36.75" customHeight="1" x14ac:dyDescent="0.2">
      <c r="A45" s="233"/>
      <c r="B45" s="233"/>
      <c r="C45" s="232"/>
      <c r="D45" s="234"/>
      <c r="E45" s="235"/>
      <c r="F45" s="235"/>
      <c r="G45" s="235"/>
      <c r="H45" s="235"/>
      <c r="I45" s="235"/>
      <c r="J45" s="235"/>
      <c r="K45" s="235"/>
      <c r="L45" s="235"/>
      <c r="M45" s="239"/>
      <c r="N45" s="165" t="s">
        <v>506</v>
      </c>
      <c r="O45" s="232"/>
      <c r="P45" s="166">
        <f>2469.24/1.2/1000</f>
        <v>2.0576999999999996</v>
      </c>
      <c r="Q45" s="232"/>
      <c r="R45" s="166">
        <f t="shared" si="1"/>
        <v>2.0576999999999996</v>
      </c>
      <c r="S45" s="232"/>
      <c r="T45" s="232"/>
      <c r="U45" s="163" t="s">
        <v>35</v>
      </c>
      <c r="V45" s="163" t="s">
        <v>35</v>
      </c>
      <c r="W45" s="163" t="s">
        <v>35</v>
      </c>
      <c r="X45" s="166" t="s">
        <v>35</v>
      </c>
      <c r="Y45" s="163" t="s">
        <v>35</v>
      </c>
      <c r="Z45" s="163" t="s">
        <v>35</v>
      </c>
      <c r="AA45" s="163" t="s">
        <v>35</v>
      </c>
      <c r="AB45" s="166">
        <f t="shared" si="2"/>
        <v>2.0576999999999996</v>
      </c>
      <c r="AC45" s="232"/>
      <c r="AD45" s="166">
        <f>2469.24/1000</f>
        <v>2.4692399999999997</v>
      </c>
      <c r="AE45" s="166">
        <f t="shared" si="0"/>
        <v>2.4692399999999997</v>
      </c>
      <c r="AF45" s="233"/>
      <c r="AG45" s="236"/>
      <c r="AH45" s="168" t="s">
        <v>35</v>
      </c>
      <c r="AI45" s="168" t="s">
        <v>35</v>
      </c>
      <c r="AJ45" s="163" t="s">
        <v>35</v>
      </c>
      <c r="AK45" s="163" t="s">
        <v>35</v>
      </c>
      <c r="AL45" s="232"/>
      <c r="AM45" s="233"/>
      <c r="AN45" s="237"/>
      <c r="AO45" s="237"/>
      <c r="AP45" s="238"/>
      <c r="AQ45" s="237"/>
      <c r="AR45" s="237"/>
      <c r="AS45" s="237"/>
      <c r="AT45" s="237"/>
      <c r="AU45" s="238"/>
      <c r="AV45" s="238"/>
    </row>
    <row r="46" spans="1:48" ht="102" x14ac:dyDescent="0.2">
      <c r="A46" s="233"/>
      <c r="B46" s="233"/>
      <c r="C46" s="232"/>
      <c r="D46" s="234"/>
      <c r="E46" s="235"/>
      <c r="F46" s="235"/>
      <c r="G46" s="235"/>
      <c r="H46" s="235"/>
      <c r="I46" s="235"/>
      <c r="J46" s="235"/>
      <c r="K46" s="235"/>
      <c r="L46" s="235"/>
      <c r="M46" s="165" t="s">
        <v>507</v>
      </c>
      <c r="N46" s="165" t="s">
        <v>508</v>
      </c>
      <c r="O46" s="232"/>
      <c r="P46" s="166">
        <f>711.36/1.2/1000</f>
        <v>0.5928000000000001</v>
      </c>
      <c r="Q46" s="232"/>
      <c r="R46" s="166">
        <f t="shared" si="1"/>
        <v>0.5928000000000001</v>
      </c>
      <c r="S46" s="232"/>
      <c r="T46" s="232"/>
      <c r="U46" s="163" t="s">
        <v>35</v>
      </c>
      <c r="V46" s="163" t="s">
        <v>35</v>
      </c>
      <c r="W46" s="163" t="s">
        <v>35</v>
      </c>
      <c r="X46" s="166" t="s">
        <v>35</v>
      </c>
      <c r="Y46" s="163" t="s">
        <v>35</v>
      </c>
      <c r="Z46" s="163" t="s">
        <v>35</v>
      </c>
      <c r="AA46" s="163" t="s">
        <v>35</v>
      </c>
      <c r="AB46" s="166">
        <f t="shared" si="2"/>
        <v>0.5928000000000001</v>
      </c>
      <c r="AC46" s="232"/>
      <c r="AD46" s="166">
        <f>711.36/1000</f>
        <v>0.71135999999999999</v>
      </c>
      <c r="AE46" s="166">
        <f t="shared" si="0"/>
        <v>0.71135999999999999</v>
      </c>
      <c r="AF46" s="233"/>
      <c r="AG46" s="236"/>
      <c r="AH46" s="168" t="s">
        <v>35</v>
      </c>
      <c r="AI46" s="168" t="s">
        <v>35</v>
      </c>
      <c r="AJ46" s="163" t="s">
        <v>35</v>
      </c>
      <c r="AK46" s="163" t="s">
        <v>35</v>
      </c>
      <c r="AL46" s="232"/>
      <c r="AM46" s="233"/>
      <c r="AN46" s="237"/>
      <c r="AO46" s="237"/>
      <c r="AP46" s="238"/>
      <c r="AQ46" s="237"/>
      <c r="AR46" s="237"/>
      <c r="AS46" s="237"/>
      <c r="AT46" s="237"/>
      <c r="AU46" s="238"/>
      <c r="AV46" s="238"/>
    </row>
    <row r="47" spans="1:48" s="180" customFormat="1" ht="154.5" customHeight="1" x14ac:dyDescent="0.2">
      <c r="A47" s="170">
        <v>7</v>
      </c>
      <c r="B47" s="170" t="s">
        <v>5</v>
      </c>
      <c r="C47" s="163" t="s">
        <v>453</v>
      </c>
      <c r="D47" s="164" t="s">
        <v>454</v>
      </c>
      <c r="E47" s="170" t="s">
        <v>35</v>
      </c>
      <c r="F47" s="170" t="s">
        <v>35</v>
      </c>
      <c r="G47" s="170" t="s">
        <v>35</v>
      </c>
      <c r="H47" s="170" t="s">
        <v>35</v>
      </c>
      <c r="I47" s="170" t="s">
        <v>35</v>
      </c>
      <c r="J47" s="170" t="s">
        <v>35</v>
      </c>
      <c r="K47" s="170" t="s">
        <v>35</v>
      </c>
      <c r="L47" s="170" t="s">
        <v>35</v>
      </c>
      <c r="M47" s="165" t="s">
        <v>509</v>
      </c>
      <c r="N47" s="165" t="s">
        <v>510</v>
      </c>
      <c r="O47" s="163" t="s">
        <v>5</v>
      </c>
      <c r="P47" s="166">
        <v>140</v>
      </c>
      <c r="Q47" s="163" t="s">
        <v>457</v>
      </c>
      <c r="R47" s="166">
        <f t="shared" si="1"/>
        <v>140</v>
      </c>
      <c r="S47" s="232" t="s">
        <v>470</v>
      </c>
      <c r="T47" s="232"/>
      <c r="U47" s="170" t="s">
        <v>35</v>
      </c>
      <c r="V47" s="170" t="s">
        <v>35</v>
      </c>
      <c r="W47" s="163" t="s">
        <v>35</v>
      </c>
      <c r="X47" s="166" t="s">
        <v>35</v>
      </c>
      <c r="Y47" s="163" t="s">
        <v>35</v>
      </c>
      <c r="Z47" s="163" t="s">
        <v>35</v>
      </c>
      <c r="AA47" s="163" t="s">
        <v>35</v>
      </c>
      <c r="AB47" s="166">
        <f t="shared" si="2"/>
        <v>140</v>
      </c>
      <c r="AC47" s="170" t="s">
        <v>511</v>
      </c>
      <c r="AD47" s="166">
        <f>AB47</f>
        <v>140</v>
      </c>
      <c r="AE47" s="166">
        <f t="shared" si="0"/>
        <v>140</v>
      </c>
      <c r="AF47" s="170">
        <v>32312823048</v>
      </c>
      <c r="AG47" s="178" t="s">
        <v>472</v>
      </c>
      <c r="AH47" s="168" t="s">
        <v>35</v>
      </c>
      <c r="AI47" s="168" t="s">
        <v>35</v>
      </c>
      <c r="AJ47" s="163" t="s">
        <v>35</v>
      </c>
      <c r="AK47" s="163" t="s">
        <v>35</v>
      </c>
      <c r="AL47" s="165" t="s">
        <v>499</v>
      </c>
      <c r="AM47" s="170" t="s">
        <v>474</v>
      </c>
      <c r="AN47" s="172">
        <v>45203</v>
      </c>
      <c r="AO47" s="172" t="s">
        <v>512</v>
      </c>
      <c r="AP47" s="170" t="s">
        <v>35</v>
      </c>
      <c r="AQ47" s="172">
        <v>45203</v>
      </c>
      <c r="AR47" s="172">
        <v>45291</v>
      </c>
      <c r="AS47" s="172">
        <v>45291</v>
      </c>
      <c r="AT47" s="172"/>
      <c r="AU47" s="179"/>
      <c r="AV47" s="179"/>
    </row>
    <row r="48" spans="1:48" s="180" customFormat="1" ht="154.5" customHeight="1" x14ac:dyDescent="0.2">
      <c r="A48" s="170" t="s">
        <v>513</v>
      </c>
      <c r="B48" s="170" t="s">
        <v>5</v>
      </c>
      <c r="C48" s="163" t="s">
        <v>453</v>
      </c>
      <c r="D48" s="164" t="s">
        <v>454</v>
      </c>
      <c r="E48" s="170" t="s">
        <v>35</v>
      </c>
      <c r="F48" s="170" t="s">
        <v>35</v>
      </c>
      <c r="G48" s="170" t="s">
        <v>35</v>
      </c>
      <c r="H48" s="170" t="s">
        <v>35</v>
      </c>
      <c r="I48" s="170" t="s">
        <v>35</v>
      </c>
      <c r="J48" s="170" t="s">
        <v>35</v>
      </c>
      <c r="K48" s="170" t="s">
        <v>35</v>
      </c>
      <c r="L48" s="170" t="s">
        <v>35</v>
      </c>
      <c r="M48" s="165" t="s">
        <v>509</v>
      </c>
      <c r="N48" s="165" t="s">
        <v>510</v>
      </c>
      <c r="O48" s="163" t="s">
        <v>5</v>
      </c>
      <c r="P48" s="166">
        <f>30000/1000</f>
        <v>30</v>
      </c>
      <c r="Q48" s="163" t="s">
        <v>457</v>
      </c>
      <c r="R48" s="166">
        <f t="shared" si="1"/>
        <v>30</v>
      </c>
      <c r="S48" s="232" t="s">
        <v>470</v>
      </c>
      <c r="T48" s="232"/>
      <c r="U48" s="170" t="s">
        <v>35</v>
      </c>
      <c r="V48" s="170" t="s">
        <v>35</v>
      </c>
      <c r="W48" s="163" t="s">
        <v>35</v>
      </c>
      <c r="X48" s="166" t="s">
        <v>35</v>
      </c>
      <c r="Y48" s="163" t="s">
        <v>35</v>
      </c>
      <c r="Z48" s="163" t="s">
        <v>35</v>
      </c>
      <c r="AA48" s="163" t="s">
        <v>35</v>
      </c>
      <c r="AB48" s="166">
        <f t="shared" si="2"/>
        <v>30</v>
      </c>
      <c r="AC48" s="170" t="s">
        <v>514</v>
      </c>
      <c r="AD48" s="166">
        <f>AB48</f>
        <v>30</v>
      </c>
      <c r="AE48" s="166">
        <f t="shared" si="0"/>
        <v>30</v>
      </c>
      <c r="AF48" s="170">
        <v>32312791961</v>
      </c>
      <c r="AG48" s="178" t="s">
        <v>472</v>
      </c>
      <c r="AH48" s="168" t="s">
        <v>35</v>
      </c>
      <c r="AI48" s="168" t="s">
        <v>35</v>
      </c>
      <c r="AJ48" s="163" t="s">
        <v>35</v>
      </c>
      <c r="AK48" s="163" t="s">
        <v>35</v>
      </c>
      <c r="AL48" s="165" t="s">
        <v>499</v>
      </c>
      <c r="AM48" s="170" t="s">
        <v>474</v>
      </c>
      <c r="AN48" s="172">
        <v>45194</v>
      </c>
      <c r="AO48" s="172" t="s">
        <v>515</v>
      </c>
      <c r="AP48" s="170" t="s">
        <v>35</v>
      </c>
      <c r="AQ48" s="172">
        <v>45194</v>
      </c>
      <c r="AR48" s="172">
        <v>45291</v>
      </c>
      <c r="AS48" s="172">
        <v>45291</v>
      </c>
      <c r="AT48" s="172"/>
      <c r="AU48" s="179"/>
      <c r="AV48" s="179"/>
    </row>
    <row r="49" spans="1:48" s="180" customFormat="1" ht="146.25" customHeight="1" x14ac:dyDescent="0.25">
      <c r="A49" s="170" t="s">
        <v>516</v>
      </c>
      <c r="B49" s="170" t="s">
        <v>5</v>
      </c>
      <c r="C49" s="163" t="s">
        <v>453</v>
      </c>
      <c r="D49" s="164" t="s">
        <v>454</v>
      </c>
      <c r="E49" s="170" t="s">
        <v>35</v>
      </c>
      <c r="F49" s="170" t="s">
        <v>35</v>
      </c>
      <c r="G49" s="170" t="s">
        <v>35</v>
      </c>
      <c r="H49" s="170" t="s">
        <v>35</v>
      </c>
      <c r="I49" s="170" t="s">
        <v>35</v>
      </c>
      <c r="J49" s="170" t="s">
        <v>35</v>
      </c>
      <c r="K49" s="170" t="s">
        <v>35</v>
      </c>
      <c r="L49" s="170" t="s">
        <v>35</v>
      </c>
      <c r="M49" s="165" t="s">
        <v>455</v>
      </c>
      <c r="N49" s="181" t="s">
        <v>466</v>
      </c>
      <c r="O49" s="163" t="s">
        <v>5</v>
      </c>
      <c r="P49" s="166">
        <f>51570/1000</f>
        <v>51.57</v>
      </c>
      <c r="Q49" s="163" t="s">
        <v>457</v>
      </c>
      <c r="R49" s="166">
        <f t="shared" si="1"/>
        <v>51.57</v>
      </c>
      <c r="S49" s="232" t="s">
        <v>470</v>
      </c>
      <c r="T49" s="232"/>
      <c r="U49" s="170" t="s">
        <v>35</v>
      </c>
      <c r="V49" s="170" t="s">
        <v>35</v>
      </c>
      <c r="W49" s="163" t="s">
        <v>35</v>
      </c>
      <c r="X49" s="166" t="s">
        <v>35</v>
      </c>
      <c r="Y49" s="163" t="s">
        <v>35</v>
      </c>
      <c r="Z49" s="163" t="s">
        <v>35</v>
      </c>
      <c r="AA49" s="163" t="s">
        <v>35</v>
      </c>
      <c r="AB49" s="166">
        <f t="shared" si="2"/>
        <v>51.57</v>
      </c>
      <c r="AC49" s="163" t="s">
        <v>459</v>
      </c>
      <c r="AD49" s="166">
        <f t="shared" ref="AD49:AD57" si="3">R49*1.2</f>
        <v>61.884</v>
      </c>
      <c r="AE49" s="166">
        <f t="shared" si="0"/>
        <v>61.884</v>
      </c>
      <c r="AF49" s="170">
        <v>32312792348</v>
      </c>
      <c r="AG49" s="178" t="s">
        <v>472</v>
      </c>
      <c r="AH49" s="168" t="s">
        <v>35</v>
      </c>
      <c r="AI49" s="168" t="s">
        <v>35</v>
      </c>
      <c r="AJ49" s="163" t="s">
        <v>35</v>
      </c>
      <c r="AK49" s="163" t="s">
        <v>35</v>
      </c>
      <c r="AL49" s="165" t="s">
        <v>499</v>
      </c>
      <c r="AM49" s="170" t="s">
        <v>474</v>
      </c>
      <c r="AN49" s="172">
        <v>45194</v>
      </c>
      <c r="AO49" s="172" t="s">
        <v>517</v>
      </c>
      <c r="AP49" s="170" t="s">
        <v>35</v>
      </c>
      <c r="AQ49" s="172">
        <v>45194</v>
      </c>
      <c r="AR49" s="172">
        <v>45291</v>
      </c>
      <c r="AS49" s="172">
        <v>45291</v>
      </c>
      <c r="AT49" s="172"/>
      <c r="AU49" s="182"/>
      <c r="AV49" s="182"/>
    </row>
    <row r="50" spans="1:48" s="180" customFormat="1" ht="134.25" customHeight="1" x14ac:dyDescent="0.25">
      <c r="A50" s="170" t="s">
        <v>518</v>
      </c>
      <c r="B50" s="170" t="s">
        <v>5</v>
      </c>
      <c r="C50" s="163" t="s">
        <v>453</v>
      </c>
      <c r="D50" s="164" t="s">
        <v>454</v>
      </c>
      <c r="E50" s="170" t="s">
        <v>35</v>
      </c>
      <c r="F50" s="170" t="s">
        <v>35</v>
      </c>
      <c r="G50" s="170" t="s">
        <v>35</v>
      </c>
      <c r="H50" s="170" t="s">
        <v>35</v>
      </c>
      <c r="I50" s="170" t="s">
        <v>35</v>
      </c>
      <c r="J50" s="170" t="s">
        <v>35</v>
      </c>
      <c r="K50" s="170" t="s">
        <v>35</v>
      </c>
      <c r="L50" s="170" t="s">
        <v>35</v>
      </c>
      <c r="M50" s="165" t="s">
        <v>455</v>
      </c>
      <c r="N50" s="181" t="s">
        <v>465</v>
      </c>
      <c r="O50" s="163" t="s">
        <v>5</v>
      </c>
      <c r="P50" s="166">
        <f>98395/1000</f>
        <v>98.394999999999996</v>
      </c>
      <c r="Q50" s="163" t="s">
        <v>457</v>
      </c>
      <c r="R50" s="166">
        <f t="shared" si="1"/>
        <v>98.394999999999996</v>
      </c>
      <c r="S50" s="232" t="s">
        <v>470</v>
      </c>
      <c r="T50" s="232"/>
      <c r="U50" s="170" t="s">
        <v>35</v>
      </c>
      <c r="V50" s="170" t="s">
        <v>35</v>
      </c>
      <c r="W50" s="163" t="s">
        <v>35</v>
      </c>
      <c r="X50" s="166" t="s">
        <v>35</v>
      </c>
      <c r="Y50" s="163" t="s">
        <v>35</v>
      </c>
      <c r="Z50" s="163" t="s">
        <v>35</v>
      </c>
      <c r="AA50" s="163" t="s">
        <v>35</v>
      </c>
      <c r="AB50" s="166">
        <f t="shared" si="2"/>
        <v>98.394999999999996</v>
      </c>
      <c r="AC50" s="163" t="s">
        <v>459</v>
      </c>
      <c r="AD50" s="166">
        <f t="shared" si="3"/>
        <v>118.07399999999998</v>
      </c>
      <c r="AE50" s="166">
        <f t="shared" si="0"/>
        <v>118.07399999999998</v>
      </c>
      <c r="AF50" s="170">
        <v>32312689116</v>
      </c>
      <c r="AG50" s="178" t="s">
        <v>472</v>
      </c>
      <c r="AH50" s="168" t="s">
        <v>35</v>
      </c>
      <c r="AI50" s="168" t="s">
        <v>35</v>
      </c>
      <c r="AJ50" s="163" t="s">
        <v>35</v>
      </c>
      <c r="AK50" s="163" t="s">
        <v>35</v>
      </c>
      <c r="AL50" s="165" t="s">
        <v>499</v>
      </c>
      <c r="AM50" s="170" t="s">
        <v>474</v>
      </c>
      <c r="AN50" s="172">
        <v>45159</v>
      </c>
      <c r="AO50" s="172" t="s">
        <v>519</v>
      </c>
      <c r="AP50" s="43" t="s">
        <v>35</v>
      </c>
      <c r="AQ50" s="172">
        <v>45159</v>
      </c>
      <c r="AR50" s="172">
        <v>45291</v>
      </c>
      <c r="AS50" s="172">
        <v>45291</v>
      </c>
      <c r="AT50" s="172"/>
      <c r="AU50" s="182"/>
      <c r="AV50" s="182"/>
    </row>
    <row r="51" spans="1:48" s="180" customFormat="1" ht="91.5" customHeight="1" x14ac:dyDescent="0.25">
      <c r="A51" s="233" t="s">
        <v>520</v>
      </c>
      <c r="B51" s="233" t="s">
        <v>5</v>
      </c>
      <c r="C51" s="232" t="s">
        <v>453</v>
      </c>
      <c r="D51" s="240" t="s">
        <v>454</v>
      </c>
      <c r="E51" s="170" t="s">
        <v>35</v>
      </c>
      <c r="F51" s="170" t="s">
        <v>35</v>
      </c>
      <c r="G51" s="170" t="s">
        <v>35</v>
      </c>
      <c r="H51" s="170" t="s">
        <v>35</v>
      </c>
      <c r="I51" s="170" t="s">
        <v>35</v>
      </c>
      <c r="J51" s="170" t="s">
        <v>35</v>
      </c>
      <c r="K51" s="170" t="s">
        <v>35</v>
      </c>
      <c r="L51" s="170" t="s">
        <v>35</v>
      </c>
      <c r="M51" s="165" t="s">
        <v>455</v>
      </c>
      <c r="N51" s="181" t="s">
        <v>521</v>
      </c>
      <c r="O51" s="163" t="s">
        <v>5</v>
      </c>
      <c r="P51" s="166">
        <f>94780/1000</f>
        <v>94.78</v>
      </c>
      <c r="Q51" s="232" t="s">
        <v>457</v>
      </c>
      <c r="R51" s="166">
        <f t="shared" si="1"/>
        <v>94.78</v>
      </c>
      <c r="S51" s="232" t="s">
        <v>470</v>
      </c>
      <c r="T51" s="232"/>
      <c r="U51" s="170" t="s">
        <v>35</v>
      </c>
      <c r="V51" s="170" t="s">
        <v>35</v>
      </c>
      <c r="W51" s="163" t="s">
        <v>35</v>
      </c>
      <c r="X51" s="166" t="s">
        <v>35</v>
      </c>
      <c r="Y51" s="163" t="s">
        <v>35</v>
      </c>
      <c r="Z51" s="163" t="s">
        <v>35</v>
      </c>
      <c r="AA51" s="163" t="s">
        <v>35</v>
      </c>
      <c r="AB51" s="166">
        <f t="shared" si="2"/>
        <v>94.78</v>
      </c>
      <c r="AC51" s="232" t="s">
        <v>459</v>
      </c>
      <c r="AD51" s="166">
        <f t="shared" si="3"/>
        <v>113.736</v>
      </c>
      <c r="AE51" s="166">
        <f t="shared" si="0"/>
        <v>113.736</v>
      </c>
      <c r="AF51" s="233">
        <v>32312822689</v>
      </c>
      <c r="AG51" s="241" t="s">
        <v>472</v>
      </c>
      <c r="AH51" s="242" t="s">
        <v>35</v>
      </c>
      <c r="AI51" s="242" t="s">
        <v>35</v>
      </c>
      <c r="AJ51" s="242" t="s">
        <v>35</v>
      </c>
      <c r="AK51" s="242" t="s">
        <v>35</v>
      </c>
      <c r="AL51" s="243" t="s">
        <v>499</v>
      </c>
      <c r="AM51" s="233" t="s">
        <v>474</v>
      </c>
      <c r="AN51" s="237">
        <v>45203</v>
      </c>
      <c r="AO51" s="237" t="s">
        <v>522</v>
      </c>
      <c r="AP51" s="238" t="s">
        <v>35</v>
      </c>
      <c r="AQ51" s="237">
        <v>45203</v>
      </c>
      <c r="AR51" s="237">
        <v>45291</v>
      </c>
      <c r="AS51" s="237">
        <v>45291</v>
      </c>
      <c r="AT51" s="172"/>
      <c r="AU51" s="182"/>
      <c r="AV51" s="182"/>
    </row>
    <row r="52" spans="1:48" s="180" customFormat="1" ht="91.5" customHeight="1" x14ac:dyDescent="0.25">
      <c r="A52" s="233"/>
      <c r="B52" s="233"/>
      <c r="C52" s="232"/>
      <c r="D52" s="240"/>
      <c r="E52" s="170" t="s">
        <v>35</v>
      </c>
      <c r="F52" s="170" t="s">
        <v>35</v>
      </c>
      <c r="G52" s="170" t="s">
        <v>35</v>
      </c>
      <c r="H52" s="170" t="s">
        <v>35</v>
      </c>
      <c r="I52" s="170" t="s">
        <v>35</v>
      </c>
      <c r="J52" s="170" t="s">
        <v>35</v>
      </c>
      <c r="K52" s="170" t="s">
        <v>35</v>
      </c>
      <c r="L52" s="170" t="s">
        <v>35</v>
      </c>
      <c r="M52" s="165" t="s">
        <v>455</v>
      </c>
      <c r="N52" s="181" t="s">
        <v>465</v>
      </c>
      <c r="O52" s="163" t="s">
        <v>5</v>
      </c>
      <c r="P52" s="166">
        <f>19410/1000</f>
        <v>19.41</v>
      </c>
      <c r="Q52" s="232"/>
      <c r="R52" s="166">
        <f t="shared" si="1"/>
        <v>19.41</v>
      </c>
      <c r="S52" s="232" t="s">
        <v>470</v>
      </c>
      <c r="T52" s="232"/>
      <c r="U52" s="170" t="s">
        <v>35</v>
      </c>
      <c r="V52" s="170" t="s">
        <v>35</v>
      </c>
      <c r="W52" s="163" t="s">
        <v>35</v>
      </c>
      <c r="X52" s="166" t="s">
        <v>35</v>
      </c>
      <c r="Y52" s="163" t="s">
        <v>35</v>
      </c>
      <c r="Z52" s="163" t="s">
        <v>35</v>
      </c>
      <c r="AA52" s="163" t="s">
        <v>35</v>
      </c>
      <c r="AB52" s="166">
        <f t="shared" si="2"/>
        <v>19.41</v>
      </c>
      <c r="AC52" s="232"/>
      <c r="AD52" s="166">
        <f t="shared" si="3"/>
        <v>23.291999999999998</v>
      </c>
      <c r="AE52" s="166">
        <f t="shared" si="0"/>
        <v>23.291999999999998</v>
      </c>
      <c r="AF52" s="233"/>
      <c r="AG52" s="241"/>
      <c r="AH52" s="242"/>
      <c r="AI52" s="242"/>
      <c r="AJ52" s="242"/>
      <c r="AK52" s="242"/>
      <c r="AL52" s="243"/>
      <c r="AM52" s="233"/>
      <c r="AN52" s="237"/>
      <c r="AO52" s="237"/>
      <c r="AP52" s="238"/>
      <c r="AQ52" s="237"/>
      <c r="AR52" s="237"/>
      <c r="AS52" s="237"/>
      <c r="AT52" s="172"/>
      <c r="AU52" s="182"/>
      <c r="AV52" s="182"/>
    </row>
    <row r="53" spans="1:48" ht="132" customHeight="1" x14ac:dyDescent="0.2">
      <c r="A53" s="183" t="s">
        <v>523</v>
      </c>
      <c r="B53" s="170" t="s">
        <v>5</v>
      </c>
      <c r="C53" s="163" t="s">
        <v>453</v>
      </c>
      <c r="D53" s="164" t="s">
        <v>454</v>
      </c>
      <c r="E53" s="170" t="s">
        <v>35</v>
      </c>
      <c r="F53" s="170" t="s">
        <v>35</v>
      </c>
      <c r="G53" s="170" t="s">
        <v>35</v>
      </c>
      <c r="H53" s="170" t="s">
        <v>35</v>
      </c>
      <c r="I53" s="170" t="s">
        <v>35</v>
      </c>
      <c r="J53" s="170" t="s">
        <v>35</v>
      </c>
      <c r="K53" s="170" t="s">
        <v>35</v>
      </c>
      <c r="L53" s="170" t="s">
        <v>35</v>
      </c>
      <c r="M53" s="184" t="s">
        <v>489</v>
      </c>
      <c r="N53" s="181" t="s">
        <v>490</v>
      </c>
      <c r="O53" s="163" t="s">
        <v>5</v>
      </c>
      <c r="P53" s="166">
        <f>(9896+1979.2)/1000</f>
        <v>11.875200000000001</v>
      </c>
      <c r="Q53" s="163" t="s">
        <v>457</v>
      </c>
      <c r="R53" s="166">
        <f t="shared" si="1"/>
        <v>11.875200000000001</v>
      </c>
      <c r="S53" s="232" t="s">
        <v>470</v>
      </c>
      <c r="T53" s="232"/>
      <c r="U53" s="170" t="s">
        <v>35</v>
      </c>
      <c r="V53" s="170" t="s">
        <v>35</v>
      </c>
      <c r="W53" s="163" t="s">
        <v>35</v>
      </c>
      <c r="X53" s="166" t="s">
        <v>35</v>
      </c>
      <c r="Y53" s="163" t="s">
        <v>35</v>
      </c>
      <c r="Z53" s="163" t="s">
        <v>35</v>
      </c>
      <c r="AA53" s="163" t="s">
        <v>35</v>
      </c>
      <c r="AB53" s="166">
        <f t="shared" si="2"/>
        <v>11.875200000000001</v>
      </c>
      <c r="AC53" s="163" t="s">
        <v>459</v>
      </c>
      <c r="AD53" s="166">
        <f t="shared" si="3"/>
        <v>14.250240000000002</v>
      </c>
      <c r="AE53" s="166">
        <f t="shared" si="0"/>
        <v>14.250240000000002</v>
      </c>
      <c r="AF53" s="170">
        <v>32312532096</v>
      </c>
      <c r="AG53" s="178" t="s">
        <v>472</v>
      </c>
      <c r="AH53" s="168" t="s">
        <v>35</v>
      </c>
      <c r="AI53" s="168" t="s">
        <v>35</v>
      </c>
      <c r="AJ53" s="163" t="s">
        <v>35</v>
      </c>
      <c r="AK53" s="163" t="s">
        <v>35</v>
      </c>
      <c r="AL53" s="165" t="s">
        <v>499</v>
      </c>
      <c r="AM53" s="170" t="s">
        <v>474</v>
      </c>
      <c r="AN53" s="172">
        <v>45105</v>
      </c>
      <c r="AO53" s="172" t="s">
        <v>524</v>
      </c>
      <c r="AP53" s="43" t="s">
        <v>35</v>
      </c>
      <c r="AQ53" s="172">
        <v>45105</v>
      </c>
      <c r="AR53" s="172">
        <v>45291</v>
      </c>
      <c r="AS53" s="172">
        <v>45291</v>
      </c>
      <c r="AT53" s="172"/>
      <c r="AU53" s="185"/>
      <c r="AV53" s="185"/>
    </row>
    <row r="54" spans="1:48" ht="132" customHeight="1" x14ac:dyDescent="0.2">
      <c r="A54" s="183" t="s">
        <v>525</v>
      </c>
      <c r="B54" s="170" t="s">
        <v>5</v>
      </c>
      <c r="C54" s="163" t="s">
        <v>453</v>
      </c>
      <c r="D54" s="164" t="s">
        <v>454</v>
      </c>
      <c r="E54" s="170" t="s">
        <v>35</v>
      </c>
      <c r="F54" s="170" t="s">
        <v>35</v>
      </c>
      <c r="G54" s="170" t="s">
        <v>35</v>
      </c>
      <c r="H54" s="170" t="s">
        <v>35</v>
      </c>
      <c r="I54" s="170" t="s">
        <v>35</v>
      </c>
      <c r="J54" s="170" t="s">
        <v>35</v>
      </c>
      <c r="K54" s="170" t="s">
        <v>35</v>
      </c>
      <c r="L54" s="170" t="s">
        <v>35</v>
      </c>
      <c r="M54" s="184" t="s">
        <v>489</v>
      </c>
      <c r="N54" s="181" t="s">
        <v>526</v>
      </c>
      <c r="O54" s="163" t="s">
        <v>5</v>
      </c>
      <c r="P54" s="166">
        <f>8648.35/1000</f>
        <v>8.6483500000000006</v>
      </c>
      <c r="Q54" s="163" t="s">
        <v>457</v>
      </c>
      <c r="R54" s="166">
        <f t="shared" si="1"/>
        <v>8.6483500000000006</v>
      </c>
      <c r="S54" s="232" t="s">
        <v>470</v>
      </c>
      <c r="T54" s="232"/>
      <c r="U54" s="170" t="s">
        <v>35</v>
      </c>
      <c r="V54" s="170" t="s">
        <v>35</v>
      </c>
      <c r="W54" s="163" t="s">
        <v>35</v>
      </c>
      <c r="X54" s="166" t="s">
        <v>35</v>
      </c>
      <c r="Y54" s="163" t="s">
        <v>35</v>
      </c>
      <c r="Z54" s="163" t="s">
        <v>35</v>
      </c>
      <c r="AA54" s="163" t="s">
        <v>35</v>
      </c>
      <c r="AB54" s="166">
        <f t="shared" si="2"/>
        <v>8.6483500000000006</v>
      </c>
      <c r="AC54" s="163" t="s">
        <v>527</v>
      </c>
      <c r="AD54" s="166">
        <f t="shared" si="3"/>
        <v>10.378020000000001</v>
      </c>
      <c r="AE54" s="166">
        <f t="shared" si="0"/>
        <v>10.378020000000001</v>
      </c>
      <c r="AF54" s="168" t="s">
        <v>35</v>
      </c>
      <c r="AG54" s="168" t="s">
        <v>35</v>
      </c>
      <c r="AH54" s="168" t="s">
        <v>35</v>
      </c>
      <c r="AI54" s="168" t="s">
        <v>35</v>
      </c>
      <c r="AJ54" s="163" t="s">
        <v>35</v>
      </c>
      <c r="AK54" s="163" t="s">
        <v>35</v>
      </c>
      <c r="AL54" s="165" t="s">
        <v>499</v>
      </c>
      <c r="AM54" s="170" t="s">
        <v>474</v>
      </c>
      <c r="AN54" s="172">
        <v>45159</v>
      </c>
      <c r="AO54" s="186">
        <v>1608</v>
      </c>
      <c r="AP54" s="43" t="s">
        <v>35</v>
      </c>
      <c r="AQ54" s="172">
        <v>45159</v>
      </c>
      <c r="AR54" s="172">
        <v>45291</v>
      </c>
      <c r="AS54" s="172">
        <v>45291</v>
      </c>
      <c r="AT54" s="172"/>
      <c r="AU54" s="185"/>
      <c r="AV54" s="185"/>
    </row>
    <row r="55" spans="1:48" ht="133.5" customHeight="1" x14ac:dyDescent="0.2">
      <c r="A55" s="183" t="s">
        <v>528</v>
      </c>
      <c r="B55" s="170" t="s">
        <v>5</v>
      </c>
      <c r="C55" s="163" t="s">
        <v>453</v>
      </c>
      <c r="D55" s="164" t="s">
        <v>454</v>
      </c>
      <c r="E55" s="170" t="s">
        <v>35</v>
      </c>
      <c r="F55" s="170" t="s">
        <v>35</v>
      </c>
      <c r="G55" s="170" t="s">
        <v>35</v>
      </c>
      <c r="H55" s="170" t="s">
        <v>35</v>
      </c>
      <c r="I55" s="170" t="s">
        <v>35</v>
      </c>
      <c r="J55" s="170" t="s">
        <v>35</v>
      </c>
      <c r="K55" s="170" t="s">
        <v>35</v>
      </c>
      <c r="L55" s="170" t="s">
        <v>35</v>
      </c>
      <c r="M55" s="184" t="s">
        <v>529</v>
      </c>
      <c r="N55" s="181" t="s">
        <v>530</v>
      </c>
      <c r="O55" s="163" t="s">
        <v>5</v>
      </c>
      <c r="P55" s="166">
        <f>3876.33/1000</f>
        <v>3.8763299999999998</v>
      </c>
      <c r="Q55" s="163" t="s">
        <v>457</v>
      </c>
      <c r="R55" s="166">
        <f t="shared" si="1"/>
        <v>3.8763299999999998</v>
      </c>
      <c r="S55" s="232" t="s">
        <v>458</v>
      </c>
      <c r="T55" s="232"/>
      <c r="U55" s="170" t="s">
        <v>35</v>
      </c>
      <c r="V55" s="170" t="s">
        <v>35</v>
      </c>
      <c r="W55" s="163" t="s">
        <v>35</v>
      </c>
      <c r="X55" s="166" t="s">
        <v>35</v>
      </c>
      <c r="Y55" s="163" t="s">
        <v>35</v>
      </c>
      <c r="Z55" s="163" t="s">
        <v>35</v>
      </c>
      <c r="AA55" s="163" t="s">
        <v>35</v>
      </c>
      <c r="AB55" s="166">
        <f t="shared" si="2"/>
        <v>3.8763299999999998</v>
      </c>
      <c r="AC55" s="163" t="s">
        <v>531</v>
      </c>
      <c r="AD55" s="166">
        <f t="shared" si="3"/>
        <v>4.6515959999999996</v>
      </c>
      <c r="AE55" s="166">
        <f t="shared" si="0"/>
        <v>4.6515959999999996</v>
      </c>
      <c r="AF55" s="170">
        <v>32312083453</v>
      </c>
      <c r="AG55" s="178" t="s">
        <v>472</v>
      </c>
      <c r="AH55" s="168" t="s">
        <v>35</v>
      </c>
      <c r="AI55" s="168" t="s">
        <v>35</v>
      </c>
      <c r="AJ55" s="163" t="s">
        <v>35</v>
      </c>
      <c r="AK55" s="163" t="s">
        <v>35</v>
      </c>
      <c r="AL55" s="163" t="s">
        <v>35</v>
      </c>
      <c r="AM55" s="170" t="s">
        <v>474</v>
      </c>
      <c r="AN55" s="172">
        <v>44972</v>
      </c>
      <c r="AO55" s="172" t="s">
        <v>532</v>
      </c>
      <c r="AP55" s="172">
        <v>44966</v>
      </c>
      <c r="AQ55" s="172">
        <v>44972</v>
      </c>
      <c r="AR55" s="172">
        <v>45289</v>
      </c>
      <c r="AS55" s="172">
        <v>45289</v>
      </c>
      <c r="AT55" s="172"/>
      <c r="AU55" s="185"/>
      <c r="AV55" s="185"/>
    </row>
    <row r="56" spans="1:48" ht="137.25" customHeight="1" x14ac:dyDescent="0.2">
      <c r="A56" s="183" t="s">
        <v>533</v>
      </c>
      <c r="B56" s="170" t="s">
        <v>5</v>
      </c>
      <c r="C56" s="163" t="s">
        <v>453</v>
      </c>
      <c r="D56" s="164" t="s">
        <v>454</v>
      </c>
      <c r="E56" s="170" t="s">
        <v>35</v>
      </c>
      <c r="F56" s="170" t="s">
        <v>35</v>
      </c>
      <c r="G56" s="170" t="s">
        <v>35</v>
      </c>
      <c r="H56" s="170" t="s">
        <v>35</v>
      </c>
      <c r="I56" s="170" t="s">
        <v>35</v>
      </c>
      <c r="J56" s="170" t="s">
        <v>35</v>
      </c>
      <c r="K56" s="170" t="s">
        <v>35</v>
      </c>
      <c r="L56" s="170" t="s">
        <v>35</v>
      </c>
      <c r="M56" s="184" t="s">
        <v>534</v>
      </c>
      <c r="N56" s="181" t="s">
        <v>535</v>
      </c>
      <c r="O56" s="163" t="s">
        <v>5</v>
      </c>
      <c r="P56" s="166">
        <f>162104.7/1000</f>
        <v>162.10470000000001</v>
      </c>
      <c r="Q56" s="163" t="s">
        <v>457</v>
      </c>
      <c r="R56" s="166">
        <f t="shared" si="1"/>
        <v>162.10470000000001</v>
      </c>
      <c r="S56" s="232" t="s">
        <v>458</v>
      </c>
      <c r="T56" s="232"/>
      <c r="U56" s="170" t="s">
        <v>35</v>
      </c>
      <c r="V56" s="170" t="s">
        <v>35</v>
      </c>
      <c r="W56" s="163" t="s">
        <v>35</v>
      </c>
      <c r="X56" s="166" t="s">
        <v>35</v>
      </c>
      <c r="Y56" s="163" t="s">
        <v>35</v>
      </c>
      <c r="Z56" s="163" t="s">
        <v>35</v>
      </c>
      <c r="AA56" s="163" t="s">
        <v>35</v>
      </c>
      <c r="AB56" s="166">
        <f t="shared" si="2"/>
        <v>162.10470000000001</v>
      </c>
      <c r="AC56" s="163" t="s">
        <v>536</v>
      </c>
      <c r="AD56" s="166">
        <f t="shared" si="3"/>
        <v>194.52564000000001</v>
      </c>
      <c r="AE56" s="166">
        <f t="shared" si="0"/>
        <v>194.52564000000001</v>
      </c>
      <c r="AF56" s="170">
        <v>32211958367</v>
      </c>
      <c r="AG56" s="178" t="s">
        <v>472</v>
      </c>
      <c r="AH56" s="168" t="s">
        <v>35</v>
      </c>
      <c r="AI56" s="168" t="s">
        <v>35</v>
      </c>
      <c r="AJ56" s="163" t="s">
        <v>35</v>
      </c>
      <c r="AK56" s="163" t="s">
        <v>35</v>
      </c>
      <c r="AL56" s="163" t="s">
        <v>35</v>
      </c>
      <c r="AM56" s="170" t="s">
        <v>474</v>
      </c>
      <c r="AN56" s="172">
        <v>44922</v>
      </c>
      <c r="AO56" s="172" t="s">
        <v>537</v>
      </c>
      <c r="AP56" s="172">
        <v>44916</v>
      </c>
      <c r="AQ56" s="172">
        <v>44922</v>
      </c>
      <c r="AR56" s="172">
        <v>45291</v>
      </c>
      <c r="AS56" s="172">
        <v>45291</v>
      </c>
      <c r="AT56" s="172"/>
      <c r="AU56" s="185"/>
      <c r="AV56" s="185"/>
    </row>
    <row r="57" spans="1:48" ht="137.25" customHeight="1" x14ac:dyDescent="0.2">
      <c r="A57" s="183" t="s">
        <v>538</v>
      </c>
      <c r="B57" s="170" t="s">
        <v>5</v>
      </c>
      <c r="C57" s="163" t="s">
        <v>453</v>
      </c>
      <c r="D57" s="164" t="s">
        <v>454</v>
      </c>
      <c r="E57" s="170" t="s">
        <v>35</v>
      </c>
      <c r="F57" s="170" t="s">
        <v>35</v>
      </c>
      <c r="G57" s="170" t="s">
        <v>35</v>
      </c>
      <c r="H57" s="170" t="s">
        <v>35</v>
      </c>
      <c r="I57" s="170" t="s">
        <v>35</v>
      </c>
      <c r="J57" s="170" t="s">
        <v>35</v>
      </c>
      <c r="K57" s="170" t="s">
        <v>35</v>
      </c>
      <c r="L57" s="170" t="s">
        <v>35</v>
      </c>
      <c r="M57" s="184" t="s">
        <v>539</v>
      </c>
      <c r="N57" s="181" t="s">
        <v>540</v>
      </c>
      <c r="O57" s="163" t="s">
        <v>5</v>
      </c>
      <c r="P57" s="166">
        <f>20529.61/1000</f>
        <v>20.529610000000002</v>
      </c>
      <c r="Q57" s="163" t="s">
        <v>457</v>
      </c>
      <c r="R57" s="166">
        <f t="shared" si="1"/>
        <v>20.529610000000002</v>
      </c>
      <c r="S57" s="232" t="s">
        <v>470</v>
      </c>
      <c r="T57" s="232"/>
      <c r="U57" s="170" t="s">
        <v>35</v>
      </c>
      <c r="V57" s="170" t="s">
        <v>35</v>
      </c>
      <c r="W57" s="163" t="s">
        <v>35</v>
      </c>
      <c r="X57" s="166" t="s">
        <v>35</v>
      </c>
      <c r="Y57" s="163" t="s">
        <v>35</v>
      </c>
      <c r="Z57" s="163" t="s">
        <v>35</v>
      </c>
      <c r="AA57" s="163" t="s">
        <v>35</v>
      </c>
      <c r="AB57" s="166">
        <f t="shared" si="2"/>
        <v>20.529610000000002</v>
      </c>
      <c r="AC57" s="163" t="s">
        <v>541</v>
      </c>
      <c r="AD57" s="166">
        <f t="shared" si="3"/>
        <v>24.635532000000001</v>
      </c>
      <c r="AE57" s="166">
        <f t="shared" si="0"/>
        <v>24.635532000000001</v>
      </c>
      <c r="AF57" s="170">
        <v>32211967673</v>
      </c>
      <c r="AG57" s="178" t="s">
        <v>472</v>
      </c>
      <c r="AH57" s="168" t="s">
        <v>35</v>
      </c>
      <c r="AI57" s="168" t="s">
        <v>35</v>
      </c>
      <c r="AJ57" s="163" t="s">
        <v>35</v>
      </c>
      <c r="AK57" s="163" t="s">
        <v>35</v>
      </c>
      <c r="AL57" s="165" t="s">
        <v>499</v>
      </c>
      <c r="AM57" s="170" t="s">
        <v>474</v>
      </c>
      <c r="AN57" s="172">
        <v>44911</v>
      </c>
      <c r="AO57" s="168" t="s">
        <v>542</v>
      </c>
      <c r="AP57" s="43"/>
      <c r="AQ57" s="172">
        <v>44911</v>
      </c>
      <c r="AR57" s="172">
        <v>45291</v>
      </c>
      <c r="AS57" s="172">
        <v>45291</v>
      </c>
      <c r="AT57" s="172"/>
      <c r="AU57" s="185"/>
      <c r="AV57" s="185"/>
    </row>
    <row r="58" spans="1:48" ht="30.75" customHeight="1" x14ac:dyDescent="0.2">
      <c r="A58" s="177"/>
      <c r="B58" s="170"/>
      <c r="C58" s="177"/>
      <c r="D58" s="177"/>
      <c r="E58" s="185"/>
      <c r="F58" s="185"/>
      <c r="G58" s="185"/>
      <c r="H58" s="185"/>
      <c r="I58" s="185"/>
      <c r="J58" s="185"/>
      <c r="K58" s="185"/>
      <c r="L58" s="185"/>
      <c r="M58" s="165"/>
      <c r="N58" s="165"/>
      <c r="O58" s="163"/>
      <c r="P58" s="166"/>
      <c r="Q58" s="185"/>
      <c r="R58" s="166"/>
      <c r="S58" s="244"/>
      <c r="T58" s="244"/>
      <c r="U58" s="185"/>
      <c r="V58" s="185"/>
      <c r="W58" s="185"/>
      <c r="X58" s="185"/>
      <c r="Y58" s="185"/>
      <c r="Z58" s="185"/>
      <c r="AA58" s="185"/>
      <c r="AB58" s="166"/>
      <c r="AC58" s="185"/>
      <c r="AD58" s="166"/>
      <c r="AE58" s="166"/>
      <c r="AF58" s="170"/>
      <c r="AG58" s="185"/>
      <c r="AH58" s="185"/>
      <c r="AI58" s="185"/>
      <c r="AJ58" s="185"/>
      <c r="AK58" s="185"/>
      <c r="AL58" s="185"/>
      <c r="AM58" s="185"/>
      <c r="AN58" s="185"/>
      <c r="AO58" s="172"/>
      <c r="AP58" s="43"/>
      <c r="AQ58" s="185"/>
      <c r="AR58" s="185"/>
      <c r="AS58" s="185"/>
      <c r="AT58" s="172"/>
      <c r="AU58" s="185"/>
      <c r="AV58" s="185"/>
    </row>
    <row r="59" spans="1:48" ht="15.75" x14ac:dyDescent="0.2">
      <c r="A59" s="185"/>
      <c r="B59" s="187" t="s">
        <v>543</v>
      </c>
      <c r="C59" s="185"/>
      <c r="D59" s="185"/>
      <c r="E59" s="244"/>
      <c r="F59" s="244"/>
      <c r="G59" s="244"/>
      <c r="H59" s="244"/>
      <c r="I59" s="244"/>
      <c r="J59" s="244"/>
      <c r="K59" s="244"/>
      <c r="L59" s="244"/>
      <c r="M59" s="165"/>
      <c r="N59" s="165"/>
      <c r="O59" s="163"/>
      <c r="P59" s="188">
        <f>SUM(P23:P58)</f>
        <v>12967.93849</v>
      </c>
      <c r="Q59" s="185"/>
      <c r="R59" s="188">
        <f>SUM(R23:R58)</f>
        <v>12967.93849</v>
      </c>
      <c r="S59" s="244"/>
      <c r="T59" s="244"/>
      <c r="U59" s="185"/>
      <c r="V59" s="185"/>
      <c r="W59" s="185"/>
      <c r="X59" s="185"/>
      <c r="Y59" s="185"/>
      <c r="Z59" s="185"/>
      <c r="AA59" s="185"/>
      <c r="AB59" s="188">
        <f>SUM(AB23:AB58)</f>
        <v>11800.982539999999</v>
      </c>
      <c r="AC59" s="185"/>
      <c r="AD59" s="188">
        <f>SUM(AD23:AD58)</f>
        <v>14127.179047999996</v>
      </c>
      <c r="AE59" s="188">
        <f>SUM(AE23:AE58)</f>
        <v>14127.179047999996</v>
      </c>
      <c r="AF59" s="170"/>
      <c r="AG59" s="185"/>
      <c r="AH59" s="185"/>
      <c r="AI59" s="185"/>
      <c r="AJ59" s="185"/>
      <c r="AK59" s="185"/>
      <c r="AL59" s="185"/>
      <c r="AM59" s="185"/>
      <c r="AN59" s="185"/>
      <c r="AO59" s="172"/>
      <c r="AP59" s="43"/>
      <c r="AQ59" s="185"/>
      <c r="AR59" s="185"/>
      <c r="AS59" s="185"/>
      <c r="AT59" s="172"/>
      <c r="AU59" s="185"/>
      <c r="AV59" s="185"/>
    </row>
    <row r="61" spans="1:48" s="180" customFormat="1" ht="27.75" customHeight="1" x14ac:dyDescent="0.25">
      <c r="A61" s="33"/>
      <c r="B61" s="189" t="s">
        <v>544</v>
      </c>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row>
  </sheetData>
  <mergeCells count="218">
    <mergeCell ref="S57:T57"/>
    <mergeCell ref="S58:T58"/>
    <mergeCell ref="E59:L59"/>
    <mergeCell ref="S59:T59"/>
    <mergeCell ref="AP51:AP52"/>
    <mergeCell ref="AQ51:AQ52"/>
    <mergeCell ref="AR51:AR52"/>
    <mergeCell ref="AS51:AS52"/>
    <mergeCell ref="S52:T52"/>
    <mergeCell ref="S53:T53"/>
    <mergeCell ref="S54:T54"/>
    <mergeCell ref="S55:T55"/>
    <mergeCell ref="S56:T56"/>
    <mergeCell ref="AG51:AG52"/>
    <mergeCell ref="AH51:AH52"/>
    <mergeCell ref="AI51:AI52"/>
    <mergeCell ref="AJ51:AJ52"/>
    <mergeCell ref="AK51:AK52"/>
    <mergeCell ref="AL51:AL52"/>
    <mergeCell ref="AM51:AM52"/>
    <mergeCell ref="AN51:AN52"/>
    <mergeCell ref="AO51:AO52"/>
    <mergeCell ref="S50:T50"/>
    <mergeCell ref="A51:A52"/>
    <mergeCell ref="B51:B52"/>
    <mergeCell ref="C51:C52"/>
    <mergeCell ref="D51:D52"/>
    <mergeCell ref="Q51:Q52"/>
    <mergeCell ref="S51:T51"/>
    <mergeCell ref="AC51:AC52"/>
    <mergeCell ref="AF51:AF52"/>
    <mergeCell ref="AR43:AR46"/>
    <mergeCell ref="AS43:AS46"/>
    <mergeCell ref="AT43:AT46"/>
    <mergeCell ref="AU43:AU46"/>
    <mergeCell ref="AV43:AV46"/>
    <mergeCell ref="M44:M45"/>
    <mergeCell ref="S47:T47"/>
    <mergeCell ref="S48:T48"/>
    <mergeCell ref="S49:T49"/>
    <mergeCell ref="AC43:AC46"/>
    <mergeCell ref="AF43:AF46"/>
    <mergeCell ref="AG43:AG46"/>
    <mergeCell ref="AL43:AL46"/>
    <mergeCell ref="AM43:AM46"/>
    <mergeCell ref="AN43:AN46"/>
    <mergeCell ref="AO43:AO46"/>
    <mergeCell ref="AP43:AP46"/>
    <mergeCell ref="AQ43:AQ46"/>
    <mergeCell ref="S41:T41"/>
    <mergeCell ref="S42:T42"/>
    <mergeCell ref="A43:A46"/>
    <mergeCell ref="B43:B46"/>
    <mergeCell ref="C43:C46"/>
    <mergeCell ref="D43:D46"/>
    <mergeCell ref="E43:E46"/>
    <mergeCell ref="F43:F46"/>
    <mergeCell ref="G43:G46"/>
    <mergeCell ref="H43:H46"/>
    <mergeCell ref="I43:I46"/>
    <mergeCell ref="J43:J46"/>
    <mergeCell ref="K43:K46"/>
    <mergeCell ref="L43:L46"/>
    <mergeCell ref="O43:O46"/>
    <mergeCell ref="Q43:Q46"/>
    <mergeCell ref="S43:T46"/>
    <mergeCell ref="AP28:AP40"/>
    <mergeCell ref="AQ28:AQ40"/>
    <mergeCell ref="AR28:AR40"/>
    <mergeCell ref="AS28:AS40"/>
    <mergeCell ref="AT28:AT40"/>
    <mergeCell ref="AU28:AU40"/>
    <mergeCell ref="AV28:AV40"/>
    <mergeCell ref="M31:M36"/>
    <mergeCell ref="M37:M38"/>
    <mergeCell ref="AG28:AG40"/>
    <mergeCell ref="AH28:AH40"/>
    <mergeCell ref="AI28:AI40"/>
    <mergeCell ref="AJ28:AJ40"/>
    <mergeCell ref="AK28:AK40"/>
    <mergeCell ref="AL28:AL40"/>
    <mergeCell ref="AM28:AM40"/>
    <mergeCell ref="AN28:AN40"/>
    <mergeCell ref="AO28:AO40"/>
    <mergeCell ref="U28:U40"/>
    <mergeCell ref="V28:V40"/>
    <mergeCell ref="W28:W40"/>
    <mergeCell ref="X28:X40"/>
    <mergeCell ref="Y28:Y40"/>
    <mergeCell ref="Z28:Z40"/>
    <mergeCell ref="AA28:AA40"/>
    <mergeCell ref="AC28:AC40"/>
    <mergeCell ref="AF28:AF40"/>
    <mergeCell ref="S27:T27"/>
    <mergeCell ref="A28:A40"/>
    <mergeCell ref="B28:B40"/>
    <mergeCell ref="C28:C40"/>
    <mergeCell ref="D28:D40"/>
    <mergeCell ref="E28:E40"/>
    <mergeCell ref="F28:F40"/>
    <mergeCell ref="G28:G40"/>
    <mergeCell ref="H28:H40"/>
    <mergeCell ref="I28:I40"/>
    <mergeCell ref="J28:J40"/>
    <mergeCell ref="K28:K40"/>
    <mergeCell ref="L28:L40"/>
    <mergeCell ref="M28:M29"/>
    <mergeCell ref="Q28:Q40"/>
    <mergeCell ref="S28:T40"/>
    <mergeCell ref="AN23:AN26"/>
    <mergeCell ref="AO23:AO26"/>
    <mergeCell ref="AP23:AP26"/>
    <mergeCell ref="AQ23:AQ26"/>
    <mergeCell ref="AR23:AR26"/>
    <mergeCell ref="AS23:AS26"/>
    <mergeCell ref="AT23:AT26"/>
    <mergeCell ref="AU23:AU26"/>
    <mergeCell ref="AV23:AV26"/>
    <mergeCell ref="AE23:AE26"/>
    <mergeCell ref="AF23:AF26"/>
    <mergeCell ref="AG23:AG26"/>
    <mergeCell ref="AH23:AH26"/>
    <mergeCell ref="AI23:AI26"/>
    <mergeCell ref="AJ23:AJ26"/>
    <mergeCell ref="AK23:AK26"/>
    <mergeCell ref="AL23:AL26"/>
    <mergeCell ref="AM23:AM26"/>
    <mergeCell ref="V23:V26"/>
    <mergeCell ref="W23:W26"/>
    <mergeCell ref="X23:X26"/>
    <mergeCell ref="Y23:Y26"/>
    <mergeCell ref="Z23:Z26"/>
    <mergeCell ref="AA23:AA26"/>
    <mergeCell ref="AB23:AB26"/>
    <mergeCell ref="AC23:AC26"/>
    <mergeCell ref="AD23:AD26"/>
    <mergeCell ref="J23:J26"/>
    <mergeCell ref="K23:K26"/>
    <mergeCell ref="M23:M26"/>
    <mergeCell ref="O23:O26"/>
    <mergeCell ref="P23:P26"/>
    <mergeCell ref="Q23:Q26"/>
    <mergeCell ref="R23:R26"/>
    <mergeCell ref="S23:T26"/>
    <mergeCell ref="U23:U26"/>
    <mergeCell ref="A23:A26"/>
    <mergeCell ref="B23:B26"/>
    <mergeCell ref="C23:C26"/>
    <mergeCell ref="D23:D26"/>
    <mergeCell ref="E23:E26"/>
    <mergeCell ref="F23:F26"/>
    <mergeCell ref="G23:G26"/>
    <mergeCell ref="H23:H26"/>
    <mergeCell ref="I23:I26"/>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20:AL21"/>
    <mergeCell ref="AM20:AM21"/>
    <mergeCell ref="AN20:AN21"/>
    <mergeCell ref="AO20:AO21"/>
    <mergeCell ref="AP20:AP21"/>
    <mergeCell ref="AQ20:AQ21"/>
    <mergeCell ref="AD19:AD21"/>
    <mergeCell ref="AE19:AE21"/>
    <mergeCell ref="AF19:AK19"/>
    <mergeCell ref="AL19:AM19"/>
    <mergeCell ref="AN19:AO19"/>
    <mergeCell ref="AP19:AQ19"/>
    <mergeCell ref="AR19:AR21"/>
    <mergeCell ref="AS19:AS21"/>
    <mergeCell ref="AT19:AT21"/>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S1:AV1"/>
    <mergeCell ref="AS2:AV2"/>
    <mergeCell ref="AS3:AV3"/>
    <mergeCell ref="A5:AV5"/>
    <mergeCell ref="A7:AV7"/>
    <mergeCell ref="A9:AV9"/>
    <mergeCell ref="A10:AV10"/>
    <mergeCell ref="A12:AV12"/>
    <mergeCell ref="A13:AV13"/>
  </mergeCells>
  <hyperlinks>
    <hyperlink ref="AG23" r:id="rId1" xr:uid="{00000000-0004-0000-0A00-000000000000}"/>
    <hyperlink ref="AG27" r:id="rId2" xr:uid="{00000000-0004-0000-0A00-000001000000}"/>
    <hyperlink ref="AG28" r:id="rId3" xr:uid="{00000000-0004-0000-0A00-000002000000}"/>
    <hyperlink ref="AG41" r:id="rId4" xr:uid="{00000000-0004-0000-0A00-000003000000}"/>
    <hyperlink ref="AG42" r:id="rId5" xr:uid="{00000000-0004-0000-0A00-000004000000}"/>
    <hyperlink ref="AG43" r:id="rId6" xr:uid="{00000000-0004-0000-0A00-000005000000}"/>
    <hyperlink ref="AG47" r:id="rId7" xr:uid="{00000000-0004-0000-0A00-000006000000}"/>
    <hyperlink ref="AG48" r:id="rId8" xr:uid="{00000000-0004-0000-0A00-000007000000}"/>
    <hyperlink ref="AG49" r:id="rId9" xr:uid="{00000000-0004-0000-0A00-000008000000}"/>
    <hyperlink ref="AG50" r:id="rId10" xr:uid="{00000000-0004-0000-0A00-000009000000}"/>
    <hyperlink ref="AG51" r:id="rId11" xr:uid="{00000000-0004-0000-0A00-00000A000000}"/>
    <hyperlink ref="AG53" r:id="rId12" xr:uid="{00000000-0004-0000-0A00-00000B000000}"/>
    <hyperlink ref="AG55" r:id="rId13" xr:uid="{00000000-0004-0000-0A00-00000C000000}"/>
    <hyperlink ref="AG56" r:id="rId14" xr:uid="{00000000-0004-0000-0A00-00000D000000}"/>
    <hyperlink ref="AG57" r:id="rId15" xr:uid="{00000000-0004-0000-0A00-00000E000000}"/>
  </hyperlinks>
  <printOptions gridLines="1"/>
  <pageMargins left="0.78749999999999998" right="0.78749999999999998" top="0.78749999999999998" bottom="0.78749999999999998" header="0.511811023622047" footer="0.511811023622047"/>
  <pageSetup paperSize="9" fitToWidth="3"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33"/>
  <sheetViews>
    <sheetView topLeftCell="A16" zoomScaleNormal="100" workbookViewId="0">
      <selection activeCell="C122" sqref="C122"/>
    </sheetView>
  </sheetViews>
  <sheetFormatPr defaultColWidth="9" defaultRowHeight="15" x14ac:dyDescent="0.2"/>
  <cols>
    <col min="1" max="1" width="6.7109375" style="190" customWidth="1"/>
    <col min="2" max="2" width="51.5703125" style="190" customWidth="1"/>
    <col min="3" max="3" width="56.28515625" style="190" customWidth="1"/>
    <col min="4" max="6" width="8.42578125" style="38" customWidth="1"/>
    <col min="7" max="7" width="24.140625" style="38" customWidth="1"/>
    <col min="8" max="1025" width="8.42578125" style="38" customWidth="1"/>
    <col min="1026" max="16384" width="9" style="38"/>
  </cols>
  <sheetData>
    <row r="1" spans="1:3" s="37" customFormat="1" ht="15.75" x14ac:dyDescent="0.2">
      <c r="C1" s="191" t="s">
        <v>0</v>
      </c>
    </row>
    <row r="2" spans="1:3" s="37" customFormat="1" ht="15.75" x14ac:dyDescent="0.2">
      <c r="C2" s="191" t="s">
        <v>1</v>
      </c>
    </row>
    <row r="3" spans="1:3" s="37" customFormat="1" ht="15.75" x14ac:dyDescent="0.2">
      <c r="C3" s="191" t="s">
        <v>2</v>
      </c>
    </row>
    <row r="4" spans="1:3" s="37" customFormat="1" ht="15.75" x14ac:dyDescent="0.2"/>
    <row r="5" spans="1:3" s="37" customFormat="1" ht="15.75" x14ac:dyDescent="0.2">
      <c r="A5" s="245" t="str">
        <f>'1. паспорт местоположение'!A5:C5</f>
        <v>Год раскрытия информации: 2023 год</v>
      </c>
      <c r="B5" s="245"/>
      <c r="C5" s="245"/>
    </row>
    <row r="6" spans="1:3" s="37" customFormat="1" ht="15.75" x14ac:dyDescent="0.2"/>
    <row r="7" spans="1:3" s="37" customFormat="1" ht="17.25" customHeight="1" x14ac:dyDescent="0.2">
      <c r="A7" s="219" t="s">
        <v>4</v>
      </c>
      <c r="B7" s="219"/>
      <c r="C7" s="219"/>
    </row>
    <row r="8" spans="1:3" s="37" customFormat="1" ht="15.75" x14ac:dyDescent="0.2"/>
    <row r="9" spans="1:3" s="37" customFormat="1" ht="15.75" customHeight="1" x14ac:dyDescent="0.2">
      <c r="A9" s="246" t="s">
        <v>403</v>
      </c>
      <c r="B9" s="246"/>
      <c r="C9" s="246"/>
    </row>
    <row r="10" spans="1:3" s="37" customFormat="1" ht="15.75" customHeight="1" x14ac:dyDescent="0.2">
      <c r="A10" s="247" t="s">
        <v>6</v>
      </c>
      <c r="B10" s="247"/>
      <c r="C10" s="247"/>
    </row>
    <row r="11" spans="1:3" s="37" customFormat="1" ht="15.75" x14ac:dyDescent="0.2"/>
    <row r="12" spans="1:3" s="37" customFormat="1" ht="15.75" x14ac:dyDescent="0.2">
      <c r="A12" s="246" t="str">
        <f>'1. паспорт местоположение'!A12:C12</f>
        <v>L_0200001105</v>
      </c>
      <c r="B12" s="246"/>
      <c r="C12" s="246"/>
    </row>
    <row r="13" spans="1:3" s="37" customFormat="1" ht="15.75" customHeight="1" x14ac:dyDescent="0.2">
      <c r="A13" s="247" t="s">
        <v>8</v>
      </c>
      <c r="B13" s="247"/>
      <c r="C13" s="247"/>
    </row>
    <row r="14" spans="1:3" s="37" customFormat="1" ht="15.75" x14ac:dyDescent="0.2"/>
    <row r="15" spans="1:3" s="37" customFormat="1" ht="15.75" x14ac:dyDescent="0.2">
      <c r="A15" s="246" t="str">
        <f>'1. паспорт местоположение'!A15:C15</f>
        <v>Реконструкция ВЛ-0,4кВ от ТП-1105, ул. Мраморная,  (ДНТ «Березка») ул. Драгоценная  г. Ростов-на-Дону</v>
      </c>
      <c r="B15" s="246"/>
      <c r="C15" s="246"/>
    </row>
    <row r="16" spans="1:3" s="37" customFormat="1" ht="15.75" customHeight="1" x14ac:dyDescent="0.2">
      <c r="A16" s="247" t="s">
        <v>545</v>
      </c>
      <c r="B16" s="247"/>
      <c r="C16" s="247"/>
    </row>
    <row r="17" spans="1:3" s="37" customFormat="1" ht="15.75" x14ac:dyDescent="0.2"/>
    <row r="18" spans="1:3" ht="31.5" customHeight="1" x14ac:dyDescent="0.2">
      <c r="A18" s="219" t="s">
        <v>546</v>
      </c>
      <c r="B18" s="219"/>
      <c r="C18" s="219"/>
    </row>
    <row r="19" spans="1:3" ht="33.75" customHeight="1" x14ac:dyDescent="0.2">
      <c r="A19" s="192">
        <v>1</v>
      </c>
      <c r="B19" s="39" t="s">
        <v>547</v>
      </c>
      <c r="C19" s="39" t="str">
        <f>A15</f>
        <v>Реконструкция ВЛ-0,4кВ от ТП-1105, ул. Мраморная,  (ДНТ «Березка») ул. Драгоценная  г. Ростов-на-Дону</v>
      </c>
    </row>
    <row r="20" spans="1:3" ht="28.5" x14ac:dyDescent="0.2">
      <c r="A20" s="192">
        <v>2</v>
      </c>
      <c r="B20" s="193" t="s">
        <v>548</v>
      </c>
      <c r="C20" s="21" t="s">
        <v>549</v>
      </c>
    </row>
    <row r="21" spans="1:3" x14ac:dyDescent="0.2">
      <c r="A21" s="192">
        <v>3</v>
      </c>
      <c r="B21" s="193" t="s">
        <v>550</v>
      </c>
      <c r="C21" s="194" t="s">
        <v>551</v>
      </c>
    </row>
    <row r="22" spans="1:3" x14ac:dyDescent="0.2">
      <c r="A22" s="192">
        <v>4</v>
      </c>
      <c r="B22" s="193" t="s">
        <v>552</v>
      </c>
      <c r="C22" s="195" t="s">
        <v>35</v>
      </c>
    </row>
    <row r="23" spans="1:3" ht="15.75" x14ac:dyDescent="0.2">
      <c r="A23" s="192">
        <v>5</v>
      </c>
      <c r="B23" s="193" t="s">
        <v>553</v>
      </c>
      <c r="C23" s="142">
        <v>45291</v>
      </c>
    </row>
    <row r="24" spans="1:3" ht="28.5" x14ac:dyDescent="0.2">
      <c r="A24" s="192">
        <v>6</v>
      </c>
      <c r="B24" s="193" t="s">
        <v>554</v>
      </c>
      <c r="C24" s="194" t="str">
        <f>'3.3 паспорт описание'!C30</f>
        <v>1П, 2С</v>
      </c>
    </row>
    <row r="25" spans="1:3" ht="28.5" x14ac:dyDescent="0.2">
      <c r="A25" s="192">
        <v>7</v>
      </c>
      <c r="B25" s="193" t="s">
        <v>555</v>
      </c>
      <c r="C25" s="26">
        <f>'6.2 Паспорт фин осв ввод'!C23</f>
        <v>15.224</v>
      </c>
    </row>
    <row r="26" spans="1:3" ht="46.5" customHeight="1" x14ac:dyDescent="0.2">
      <c r="A26" s="192">
        <v>8</v>
      </c>
      <c r="B26" s="196" t="s">
        <v>556</v>
      </c>
      <c r="C26" s="21" t="s">
        <v>557</v>
      </c>
    </row>
    <row r="27" spans="1:3" ht="30" customHeight="1" x14ac:dyDescent="0.2">
      <c r="A27" s="192">
        <v>9</v>
      </c>
      <c r="B27" s="193" t="s">
        <v>558</v>
      </c>
      <c r="C27" s="194" t="s">
        <v>35</v>
      </c>
    </row>
    <row r="28" spans="1:3" ht="28.5" x14ac:dyDescent="0.2">
      <c r="A28" s="192">
        <v>10</v>
      </c>
      <c r="B28" s="193" t="s">
        <v>559</v>
      </c>
      <c r="C28" s="197">
        <f>C35+C56</f>
        <v>12.011827988</v>
      </c>
    </row>
    <row r="29" spans="1:3" x14ac:dyDescent="0.2">
      <c r="A29" s="192">
        <v>11</v>
      </c>
      <c r="B29" s="165" t="s">
        <v>560</v>
      </c>
      <c r="C29" s="194" t="s">
        <v>35</v>
      </c>
    </row>
    <row r="30" spans="1:3" ht="28.5" x14ac:dyDescent="0.2">
      <c r="A30" s="192">
        <v>12</v>
      </c>
      <c r="B30" s="193" t="s">
        <v>561</v>
      </c>
      <c r="C30" s="194" t="s">
        <v>35</v>
      </c>
    </row>
    <row r="31" spans="1:3" ht="30" x14ac:dyDescent="0.2">
      <c r="A31" s="198" t="s">
        <v>562</v>
      </c>
      <c r="B31" s="196" t="s">
        <v>563</v>
      </c>
      <c r="C31" s="194" t="s">
        <v>35</v>
      </c>
    </row>
    <row r="32" spans="1:3" x14ac:dyDescent="0.2">
      <c r="A32" s="198" t="s">
        <v>564</v>
      </c>
      <c r="B32" s="196" t="s">
        <v>565</v>
      </c>
      <c r="C32" s="194" t="s">
        <v>35</v>
      </c>
    </row>
    <row r="33" spans="1:3" x14ac:dyDescent="0.2">
      <c r="A33" s="198" t="s">
        <v>566</v>
      </c>
      <c r="B33" s="196" t="s">
        <v>567</v>
      </c>
      <c r="C33" s="194" t="s">
        <v>35</v>
      </c>
    </row>
    <row r="34" spans="1:3" x14ac:dyDescent="0.2">
      <c r="A34" s="198" t="s">
        <v>568</v>
      </c>
      <c r="B34" s="196" t="s">
        <v>569</v>
      </c>
      <c r="C34" s="194" t="s">
        <v>35</v>
      </c>
    </row>
    <row r="35" spans="1:3" ht="42.75" x14ac:dyDescent="0.2">
      <c r="A35" s="192">
        <v>13</v>
      </c>
      <c r="B35" s="193" t="s">
        <v>570</v>
      </c>
      <c r="C35" s="197">
        <f>C36+C40+C44+C48+C52</f>
        <v>10.194634464</v>
      </c>
    </row>
    <row r="36" spans="1:3" ht="47.25" customHeight="1" x14ac:dyDescent="0.2">
      <c r="A36" s="198" t="s">
        <v>571</v>
      </c>
      <c r="B36" s="196" t="s">
        <v>572</v>
      </c>
      <c r="C36" s="199">
        <f>8217240/1000000*1.2</f>
        <v>9.8606879999999997</v>
      </c>
    </row>
    <row r="37" spans="1:3" ht="18.75" customHeight="1" x14ac:dyDescent="0.2">
      <c r="A37" s="198" t="s">
        <v>573</v>
      </c>
      <c r="B37" s="196" t="s">
        <v>565</v>
      </c>
      <c r="C37" s="200">
        <f>C36/C$25</f>
        <v>0.64770677877036253</v>
      </c>
    </row>
    <row r="38" spans="1:3" ht="18.75" customHeight="1" x14ac:dyDescent="0.2">
      <c r="A38" s="198" t="s">
        <v>574</v>
      </c>
      <c r="B38" s="196" t="s">
        <v>575</v>
      </c>
      <c r="C38" s="199">
        <f>C36</f>
        <v>9.8606879999999997</v>
      </c>
    </row>
    <row r="39" spans="1:3" ht="18.75" customHeight="1" x14ac:dyDescent="0.2">
      <c r="A39" s="198" t="s">
        <v>576</v>
      </c>
      <c r="B39" s="196" t="s">
        <v>577</v>
      </c>
      <c r="C39" s="199">
        <f>C38</f>
        <v>9.8606879999999997</v>
      </c>
    </row>
    <row r="40" spans="1:3" ht="43.5" customHeight="1" x14ac:dyDescent="0.2">
      <c r="A40" s="198" t="s">
        <v>578</v>
      </c>
      <c r="B40" s="196" t="s">
        <v>579</v>
      </c>
      <c r="C40" s="199">
        <f>51570/1000000*1.2</f>
        <v>6.1883999999999995E-2</v>
      </c>
    </row>
    <row r="41" spans="1:3" ht="18.75" customHeight="1" x14ac:dyDescent="0.2">
      <c r="A41" s="198" t="s">
        <v>580</v>
      </c>
      <c r="B41" s="196" t="s">
        <v>565</v>
      </c>
      <c r="C41" s="200">
        <f>C40/C$25</f>
        <v>4.0648975302154493E-3</v>
      </c>
    </row>
    <row r="42" spans="1:3" ht="18.75" customHeight="1" x14ac:dyDescent="0.2">
      <c r="A42" s="198" t="s">
        <v>581</v>
      </c>
      <c r="B42" s="196" t="s">
        <v>575</v>
      </c>
      <c r="C42" s="199">
        <f>51570/1000000*1.2</f>
        <v>6.1883999999999995E-2</v>
      </c>
    </row>
    <row r="43" spans="1:3" ht="18.75" customHeight="1" x14ac:dyDescent="0.2">
      <c r="A43" s="198" t="s">
        <v>582</v>
      </c>
      <c r="B43" s="196" t="s">
        <v>577</v>
      </c>
      <c r="C43" s="199">
        <f>51570/1000000*1.2</f>
        <v>6.1883999999999995E-2</v>
      </c>
    </row>
    <row r="44" spans="1:3" ht="44.25" customHeight="1" x14ac:dyDescent="0.2">
      <c r="A44" s="198" t="s">
        <v>583</v>
      </c>
      <c r="B44" s="196" t="s">
        <v>584</v>
      </c>
      <c r="C44" s="201">
        <f>98395/1000000*1.2</f>
        <v>0.11807399999999998</v>
      </c>
    </row>
    <row r="45" spans="1:3" ht="18.75" customHeight="1" x14ac:dyDescent="0.2">
      <c r="A45" s="198" t="s">
        <v>585</v>
      </c>
      <c r="B45" s="196" t="s">
        <v>565</v>
      </c>
      <c r="C45" s="200">
        <f>C44/C$25</f>
        <v>7.7557803468208085E-3</v>
      </c>
    </row>
    <row r="46" spans="1:3" ht="18.75" customHeight="1" x14ac:dyDescent="0.2">
      <c r="A46" s="198" t="s">
        <v>586</v>
      </c>
      <c r="B46" s="196" t="s">
        <v>575</v>
      </c>
      <c r="C46" s="201">
        <f>C44</f>
        <v>0.11807399999999998</v>
      </c>
    </row>
    <row r="47" spans="1:3" ht="18.75" customHeight="1" x14ac:dyDescent="0.2">
      <c r="A47" s="198" t="s">
        <v>587</v>
      </c>
      <c r="B47" s="196" t="s">
        <v>577</v>
      </c>
      <c r="C47" s="201">
        <f>C44</f>
        <v>0.11807399999999998</v>
      </c>
    </row>
    <row r="48" spans="1:3" ht="45.75" customHeight="1" x14ac:dyDescent="0.2">
      <c r="A48" s="198" t="s">
        <v>588</v>
      </c>
      <c r="B48" s="196" t="s">
        <v>589</v>
      </c>
      <c r="C48" s="201">
        <f>114190/1000000*1.2</f>
        <v>0.13702799999999998</v>
      </c>
    </row>
    <row r="49" spans="1:3" ht="18.75" customHeight="1" x14ac:dyDescent="0.2">
      <c r="A49" s="198" t="s">
        <v>590</v>
      </c>
      <c r="B49" s="196" t="s">
        <v>565</v>
      </c>
      <c r="C49" s="200">
        <f>C48/C$25</f>
        <v>9.0007882291119265E-3</v>
      </c>
    </row>
    <row r="50" spans="1:3" ht="18.75" customHeight="1" x14ac:dyDescent="0.2">
      <c r="A50" s="198" t="s">
        <v>591</v>
      </c>
      <c r="B50" s="196" t="s">
        <v>575</v>
      </c>
      <c r="C50" s="201">
        <f>C48</f>
        <v>0.13702799999999998</v>
      </c>
    </row>
    <row r="51" spans="1:3" ht="18.75" customHeight="1" x14ac:dyDescent="0.2">
      <c r="A51" s="198" t="s">
        <v>592</v>
      </c>
      <c r="B51" s="196" t="s">
        <v>577</v>
      </c>
      <c r="C51" s="201">
        <f>C48</f>
        <v>0.13702799999999998</v>
      </c>
    </row>
    <row r="52" spans="1:3" ht="45" x14ac:dyDescent="0.2">
      <c r="A52" s="198" t="s">
        <v>593</v>
      </c>
      <c r="B52" s="196" t="s">
        <v>594</v>
      </c>
      <c r="C52" s="199">
        <f>14133.72/1000000*1.2</f>
        <v>1.6960463999999998E-2</v>
      </c>
    </row>
    <row r="53" spans="1:3" ht="18" customHeight="1" x14ac:dyDescent="0.2">
      <c r="A53" s="198" t="s">
        <v>595</v>
      </c>
      <c r="B53" s="196" t="s">
        <v>565</v>
      </c>
      <c r="C53" s="200">
        <f>C52/C25</f>
        <v>1.1140609563846558E-3</v>
      </c>
    </row>
    <row r="54" spans="1:3" ht="18" customHeight="1" x14ac:dyDescent="0.2">
      <c r="A54" s="198" t="s">
        <v>596</v>
      </c>
      <c r="B54" s="196" t="s">
        <v>575</v>
      </c>
      <c r="C54" s="199">
        <f>C52</f>
        <v>1.6960463999999998E-2</v>
      </c>
    </row>
    <row r="55" spans="1:3" ht="18" customHeight="1" x14ac:dyDescent="0.2">
      <c r="A55" s="198" t="s">
        <v>597</v>
      </c>
      <c r="B55" s="196" t="s">
        <v>577</v>
      </c>
      <c r="C55" s="199">
        <f>C54</f>
        <v>1.6960463999999998E-2</v>
      </c>
    </row>
    <row r="56" spans="1:3" ht="28.5" x14ac:dyDescent="0.2">
      <c r="A56" s="192">
        <v>14</v>
      </c>
      <c r="B56" s="193" t="s">
        <v>598</v>
      </c>
      <c r="C56" s="197">
        <f>C57+C61+C65+C69+C73+C77+C81+C85+C89+C93+C97</f>
        <v>1.8171935240000001</v>
      </c>
    </row>
    <row r="57" spans="1:3" ht="45" x14ac:dyDescent="0.2">
      <c r="A57" s="198" t="s">
        <v>599</v>
      </c>
      <c r="B57" s="196" t="s">
        <v>600</v>
      </c>
      <c r="C57" s="199">
        <f>159772.67/1000000*1.2</f>
        <v>0.19172720400000001</v>
      </c>
    </row>
    <row r="58" spans="1:3" x14ac:dyDescent="0.2">
      <c r="A58" s="198" t="s">
        <v>601</v>
      </c>
      <c r="B58" s="196" t="s">
        <v>565</v>
      </c>
      <c r="C58" s="200">
        <f>C57/C$25</f>
        <v>1.2593746978455072E-2</v>
      </c>
    </row>
    <row r="59" spans="1:3" x14ac:dyDescent="0.2">
      <c r="A59" s="198" t="s">
        <v>602</v>
      </c>
      <c r="B59" s="196" t="s">
        <v>575</v>
      </c>
      <c r="C59" s="199">
        <f>C57</f>
        <v>0.19172720400000001</v>
      </c>
    </row>
    <row r="60" spans="1:3" x14ac:dyDescent="0.2">
      <c r="A60" s="198" t="s">
        <v>603</v>
      </c>
      <c r="B60" s="196" t="s">
        <v>577</v>
      </c>
      <c r="C60" s="199">
        <f>C59</f>
        <v>0.19172720400000001</v>
      </c>
    </row>
    <row r="61" spans="1:3" ht="45" x14ac:dyDescent="0.2">
      <c r="A61" s="198" t="s">
        <v>604</v>
      </c>
      <c r="B61" s="196" t="s">
        <v>605</v>
      </c>
      <c r="C61" s="199">
        <f>409484.28/1000000*1.2</f>
        <v>0.491381136</v>
      </c>
    </row>
    <row r="62" spans="1:3" x14ac:dyDescent="0.2">
      <c r="A62" s="198" t="s">
        <v>606</v>
      </c>
      <c r="B62" s="196" t="s">
        <v>565</v>
      </c>
      <c r="C62" s="200">
        <f>C61/C$25</f>
        <v>3.2276743037309513E-2</v>
      </c>
    </row>
    <row r="63" spans="1:3" x14ac:dyDescent="0.2">
      <c r="A63" s="198" t="s">
        <v>607</v>
      </c>
      <c r="B63" s="196" t="s">
        <v>608</v>
      </c>
      <c r="C63" s="199">
        <f>C61</f>
        <v>0.491381136</v>
      </c>
    </row>
    <row r="64" spans="1:3" x14ac:dyDescent="0.2">
      <c r="A64" s="198" t="s">
        <v>609</v>
      </c>
      <c r="B64" s="196" t="s">
        <v>569</v>
      </c>
      <c r="C64" s="199">
        <f>C63</f>
        <v>0.491381136</v>
      </c>
    </row>
    <row r="65" spans="1:3" ht="45" x14ac:dyDescent="0.2">
      <c r="A65" s="198" t="s">
        <v>610</v>
      </c>
      <c r="B65" s="196" t="s">
        <v>611</v>
      </c>
      <c r="C65" s="199">
        <f>314970.13/1000000*1.2</f>
        <v>0.377964156</v>
      </c>
    </row>
    <row r="66" spans="1:3" x14ac:dyDescent="0.2">
      <c r="A66" s="198" t="s">
        <v>612</v>
      </c>
      <c r="B66" s="196" t="s">
        <v>565</v>
      </c>
      <c r="C66" s="200">
        <f>C65/C$25</f>
        <v>2.4826862585391487E-2</v>
      </c>
    </row>
    <row r="67" spans="1:3" x14ac:dyDescent="0.2">
      <c r="A67" s="198" t="s">
        <v>613</v>
      </c>
      <c r="B67" s="196" t="s">
        <v>608</v>
      </c>
      <c r="C67" s="199">
        <f>C65</f>
        <v>0.377964156</v>
      </c>
    </row>
    <row r="68" spans="1:3" x14ac:dyDescent="0.2">
      <c r="A68" s="198" t="s">
        <v>614</v>
      </c>
      <c r="B68" s="196" t="s">
        <v>569</v>
      </c>
      <c r="C68" s="199">
        <f>C67</f>
        <v>0.377964156</v>
      </c>
    </row>
    <row r="69" spans="1:3" ht="45" x14ac:dyDescent="0.2">
      <c r="A69" s="198" t="s">
        <v>615</v>
      </c>
      <c r="B69" s="196" t="s">
        <v>616</v>
      </c>
      <c r="C69" s="199">
        <f>281400/1000000*1.2</f>
        <v>0.33767999999999998</v>
      </c>
    </row>
    <row r="70" spans="1:3" x14ac:dyDescent="0.2">
      <c r="A70" s="198" t="s">
        <v>617</v>
      </c>
      <c r="B70" s="196" t="s">
        <v>565</v>
      </c>
      <c r="C70" s="200">
        <f>C69/C$25</f>
        <v>2.2180767209668942E-2</v>
      </c>
    </row>
    <row r="71" spans="1:3" x14ac:dyDescent="0.2">
      <c r="A71" s="198" t="s">
        <v>618</v>
      </c>
      <c r="B71" s="196" t="s">
        <v>608</v>
      </c>
      <c r="C71" s="199">
        <f>C69</f>
        <v>0.33767999999999998</v>
      </c>
    </row>
    <row r="72" spans="1:3" x14ac:dyDescent="0.2">
      <c r="A72" s="198" t="s">
        <v>619</v>
      </c>
      <c r="B72" s="196" t="s">
        <v>569</v>
      </c>
      <c r="C72" s="199">
        <f>C71</f>
        <v>0.33767999999999998</v>
      </c>
    </row>
    <row r="73" spans="1:3" ht="45" x14ac:dyDescent="0.2">
      <c r="A73" s="198" t="s">
        <v>620</v>
      </c>
      <c r="B73" s="196" t="s">
        <v>621</v>
      </c>
      <c r="C73" s="199">
        <f>11875.2/1000000*1.2</f>
        <v>1.4250240000000001E-2</v>
      </c>
    </row>
    <row r="74" spans="1:3" x14ac:dyDescent="0.2">
      <c r="A74" s="198" t="s">
        <v>622</v>
      </c>
      <c r="B74" s="196" t="s">
        <v>565</v>
      </c>
      <c r="C74" s="200">
        <f>C73/C25</f>
        <v>9.3603783499737259E-4</v>
      </c>
    </row>
    <row r="75" spans="1:3" x14ac:dyDescent="0.2">
      <c r="A75" s="198" t="s">
        <v>623</v>
      </c>
      <c r="B75" s="196" t="s">
        <v>608</v>
      </c>
      <c r="C75" s="199">
        <f>C73</f>
        <v>1.4250240000000001E-2</v>
      </c>
    </row>
    <row r="76" spans="1:3" x14ac:dyDescent="0.2">
      <c r="A76" s="198" t="s">
        <v>624</v>
      </c>
      <c r="B76" s="196" t="s">
        <v>569</v>
      </c>
      <c r="C76" s="199">
        <f>C75</f>
        <v>1.4250240000000001E-2</v>
      </c>
    </row>
    <row r="77" spans="1:3" ht="45" x14ac:dyDescent="0.2">
      <c r="A77" s="198" t="s">
        <v>625</v>
      </c>
      <c r="B77" s="196" t="s">
        <v>626</v>
      </c>
      <c r="C77" s="199">
        <f>8648.35/1000000*1.2</f>
        <v>1.037802E-2</v>
      </c>
    </row>
    <row r="78" spans="1:3" x14ac:dyDescent="0.2">
      <c r="A78" s="198" t="s">
        <v>627</v>
      </c>
      <c r="B78" s="196" t="s">
        <v>565</v>
      </c>
      <c r="C78" s="200">
        <f>C77/C25</f>
        <v>6.816881240147136E-4</v>
      </c>
    </row>
    <row r="79" spans="1:3" x14ac:dyDescent="0.2">
      <c r="A79" s="198" t="s">
        <v>628</v>
      </c>
      <c r="B79" s="196" t="s">
        <v>608</v>
      </c>
      <c r="C79" s="199">
        <f>C77</f>
        <v>1.037802E-2</v>
      </c>
    </row>
    <row r="80" spans="1:3" x14ac:dyDescent="0.2">
      <c r="A80" s="198" t="s">
        <v>629</v>
      </c>
      <c r="B80" s="196" t="s">
        <v>569</v>
      </c>
      <c r="C80" s="199">
        <f>C79</f>
        <v>1.037802E-2</v>
      </c>
    </row>
    <row r="81" spans="1:3" ht="45" x14ac:dyDescent="0.2">
      <c r="A81" s="198" t="s">
        <v>630</v>
      </c>
      <c r="B81" s="196" t="s">
        <v>631</v>
      </c>
      <c r="C81" s="199">
        <f>3876.33/1000000*1.2</f>
        <v>4.651596E-3</v>
      </c>
    </row>
    <row r="82" spans="1:3" x14ac:dyDescent="0.2">
      <c r="A82" s="198" t="s">
        <v>632</v>
      </c>
      <c r="B82" s="196" t="s">
        <v>565</v>
      </c>
      <c r="C82" s="200">
        <f>C81/C25</f>
        <v>3.0554361534419338E-4</v>
      </c>
    </row>
    <row r="83" spans="1:3" x14ac:dyDescent="0.2">
      <c r="A83" s="198" t="s">
        <v>633</v>
      </c>
      <c r="B83" s="196" t="s">
        <v>608</v>
      </c>
      <c r="C83" s="199">
        <f>C81</f>
        <v>4.651596E-3</v>
      </c>
    </row>
    <row r="84" spans="1:3" x14ac:dyDescent="0.2">
      <c r="A84" s="198" t="s">
        <v>634</v>
      </c>
      <c r="B84" s="196" t="s">
        <v>569</v>
      </c>
      <c r="C84" s="199">
        <f>C83</f>
        <v>4.651596E-3</v>
      </c>
    </row>
    <row r="85" spans="1:3" ht="30" x14ac:dyDescent="0.2">
      <c r="A85" s="198" t="s">
        <v>635</v>
      </c>
      <c r="B85" s="196" t="s">
        <v>636</v>
      </c>
      <c r="C85" s="199">
        <f>162104.7/1000000*1.2</f>
        <v>0.19452564000000003</v>
      </c>
    </row>
    <row r="86" spans="1:3" x14ac:dyDescent="0.2">
      <c r="A86" s="198" t="s">
        <v>637</v>
      </c>
      <c r="B86" s="196" t="s">
        <v>565</v>
      </c>
      <c r="C86" s="200">
        <f>C85/C25</f>
        <v>1.2777564372044142E-2</v>
      </c>
    </row>
    <row r="87" spans="1:3" x14ac:dyDescent="0.2">
      <c r="A87" s="198" t="s">
        <v>638</v>
      </c>
      <c r="B87" s="196" t="s">
        <v>608</v>
      </c>
      <c r="C87" s="199">
        <f>C85</f>
        <v>0.19452564000000003</v>
      </c>
    </row>
    <row r="88" spans="1:3" x14ac:dyDescent="0.2">
      <c r="A88" s="198" t="s">
        <v>639</v>
      </c>
      <c r="B88" s="196" t="s">
        <v>569</v>
      </c>
      <c r="C88" s="199">
        <f>C87</f>
        <v>0.19452564000000003</v>
      </c>
    </row>
    <row r="89" spans="1:3" ht="45" x14ac:dyDescent="0.2">
      <c r="A89" s="198" t="s">
        <v>640</v>
      </c>
      <c r="B89" s="196" t="s">
        <v>641</v>
      </c>
      <c r="C89" s="199">
        <f>20529.61/1000000*1.2</f>
        <v>2.4635531999999998E-2</v>
      </c>
    </row>
    <row r="90" spans="1:3" x14ac:dyDescent="0.2">
      <c r="A90" s="198" t="s">
        <v>642</v>
      </c>
      <c r="B90" s="196" t="s">
        <v>565</v>
      </c>
      <c r="C90" s="200">
        <f>C89/C25</f>
        <v>1.6182036258539148E-3</v>
      </c>
    </row>
    <row r="91" spans="1:3" x14ac:dyDescent="0.2">
      <c r="A91" s="198" t="s">
        <v>643</v>
      </c>
      <c r="B91" s="196" t="s">
        <v>608</v>
      </c>
      <c r="C91" s="199">
        <f>C89</f>
        <v>2.4635531999999998E-2</v>
      </c>
    </row>
    <row r="92" spans="1:3" x14ac:dyDescent="0.2">
      <c r="A92" s="198" t="s">
        <v>644</v>
      </c>
      <c r="B92" s="196" t="s">
        <v>569</v>
      </c>
      <c r="C92" s="199">
        <f>C91</f>
        <v>2.4635531999999998E-2</v>
      </c>
    </row>
    <row r="93" spans="1:3" ht="45" x14ac:dyDescent="0.2">
      <c r="A93" s="198" t="s">
        <v>645</v>
      </c>
      <c r="B93" s="196" t="s">
        <v>646</v>
      </c>
      <c r="C93" s="199">
        <f>140000/1000000</f>
        <v>0.14000000000000001</v>
      </c>
    </row>
    <row r="94" spans="1:3" x14ac:dyDescent="0.2">
      <c r="A94" s="164" t="s">
        <v>647</v>
      </c>
      <c r="B94" s="196" t="s">
        <v>565</v>
      </c>
      <c r="C94" s="200">
        <f>C93/C25</f>
        <v>9.1960063058328968E-3</v>
      </c>
    </row>
    <row r="95" spans="1:3" x14ac:dyDescent="0.2">
      <c r="A95" s="164" t="s">
        <v>648</v>
      </c>
      <c r="B95" s="196" t="s">
        <v>608</v>
      </c>
      <c r="C95" s="199">
        <f>C93</f>
        <v>0.14000000000000001</v>
      </c>
    </row>
    <row r="96" spans="1:3" x14ac:dyDescent="0.2">
      <c r="A96" s="164" t="s">
        <v>649</v>
      </c>
      <c r="B96" s="196" t="s">
        <v>569</v>
      </c>
      <c r="C96" s="199">
        <f>C93</f>
        <v>0.14000000000000001</v>
      </c>
    </row>
    <row r="97" spans="1:3" ht="45" x14ac:dyDescent="0.2">
      <c r="A97" s="198" t="s">
        <v>650</v>
      </c>
      <c r="B97" s="196" t="s">
        <v>651</v>
      </c>
      <c r="C97" s="194">
        <f>30000/1000000</f>
        <v>0.03</v>
      </c>
    </row>
    <row r="98" spans="1:3" x14ac:dyDescent="0.2">
      <c r="A98" s="164" t="s">
        <v>652</v>
      </c>
      <c r="B98" s="196" t="s">
        <v>565</v>
      </c>
      <c r="C98" s="200">
        <f>C97/C25</f>
        <v>1.9705727798213345E-3</v>
      </c>
    </row>
    <row r="99" spans="1:3" x14ac:dyDescent="0.2">
      <c r="A99" s="164" t="s">
        <v>653</v>
      </c>
      <c r="B99" s="196" t="s">
        <v>608</v>
      </c>
      <c r="C99" s="194">
        <f>C97</f>
        <v>0.03</v>
      </c>
    </row>
    <row r="100" spans="1:3" x14ac:dyDescent="0.2">
      <c r="A100" s="164" t="s">
        <v>654</v>
      </c>
      <c r="B100" s="196" t="s">
        <v>569</v>
      </c>
      <c r="C100" s="194">
        <f>C97</f>
        <v>0.03</v>
      </c>
    </row>
    <row r="101" spans="1:3" ht="42.75" x14ac:dyDescent="0.2">
      <c r="A101" s="192">
        <v>15</v>
      </c>
      <c r="B101" s="193" t="s">
        <v>655</v>
      </c>
      <c r="C101" s="194" t="s">
        <v>35</v>
      </c>
    </row>
    <row r="102" spans="1:3" x14ac:dyDescent="0.2">
      <c r="A102" s="192"/>
      <c r="B102" s="196" t="s">
        <v>560</v>
      </c>
      <c r="C102" s="194" t="s">
        <v>35</v>
      </c>
    </row>
    <row r="103" spans="1:3" x14ac:dyDescent="0.2">
      <c r="A103" s="198" t="s">
        <v>337</v>
      </c>
      <c r="B103" s="196" t="s">
        <v>656</v>
      </c>
      <c r="C103" s="194" t="s">
        <v>35</v>
      </c>
    </row>
    <row r="104" spans="1:3" x14ac:dyDescent="0.2">
      <c r="A104" s="198" t="s">
        <v>657</v>
      </c>
      <c r="B104" s="196" t="s">
        <v>658</v>
      </c>
      <c r="C104" s="194" t="s">
        <v>35</v>
      </c>
    </row>
    <row r="105" spans="1:3" ht="30" x14ac:dyDescent="0.2">
      <c r="A105" s="198" t="s">
        <v>659</v>
      </c>
      <c r="B105" s="196" t="s">
        <v>660</v>
      </c>
      <c r="C105" s="194" t="s">
        <v>35</v>
      </c>
    </row>
    <row r="106" spans="1:3" x14ac:dyDescent="0.2">
      <c r="A106" s="198" t="s">
        <v>661</v>
      </c>
      <c r="B106" s="193" t="s">
        <v>662</v>
      </c>
      <c r="C106" s="194" t="s">
        <v>35</v>
      </c>
    </row>
    <row r="107" spans="1:3" x14ac:dyDescent="0.2">
      <c r="A107" s="198" t="s">
        <v>663</v>
      </c>
      <c r="B107" s="193" t="s">
        <v>664</v>
      </c>
      <c r="C107" s="194" t="s">
        <v>35</v>
      </c>
    </row>
    <row r="108" spans="1:3" x14ac:dyDescent="0.2">
      <c r="A108" s="198" t="s">
        <v>665</v>
      </c>
      <c r="B108" s="193" t="s">
        <v>666</v>
      </c>
      <c r="C108" s="194" t="s">
        <v>35</v>
      </c>
    </row>
    <row r="109" spans="1:3" x14ac:dyDescent="0.2">
      <c r="A109" s="198" t="s">
        <v>667</v>
      </c>
      <c r="B109" s="193" t="s">
        <v>668</v>
      </c>
      <c r="C109" s="194" t="s">
        <v>35</v>
      </c>
    </row>
    <row r="110" spans="1:3" ht="18.75" customHeight="1" x14ac:dyDescent="0.2">
      <c r="A110" s="198" t="s">
        <v>669</v>
      </c>
      <c r="B110" s="193" t="s">
        <v>670</v>
      </c>
      <c r="C110" s="194" t="s">
        <v>35</v>
      </c>
    </row>
    <row r="111" spans="1:3" x14ac:dyDescent="0.2">
      <c r="A111" s="198" t="s">
        <v>671</v>
      </c>
      <c r="B111" s="196" t="s">
        <v>672</v>
      </c>
      <c r="C111" s="194" t="s">
        <v>35</v>
      </c>
    </row>
    <row r="112" spans="1:3" x14ac:dyDescent="0.2">
      <c r="A112" s="198" t="s">
        <v>673</v>
      </c>
      <c r="B112" s="196" t="s">
        <v>674</v>
      </c>
      <c r="C112" s="194" t="s">
        <v>35</v>
      </c>
    </row>
    <row r="113" spans="1:3" x14ac:dyDescent="0.2">
      <c r="A113" s="198" t="s">
        <v>675</v>
      </c>
      <c r="B113" s="196" t="s">
        <v>676</v>
      </c>
      <c r="C113" s="194" t="s">
        <v>35</v>
      </c>
    </row>
    <row r="114" spans="1:3" x14ac:dyDescent="0.2">
      <c r="A114" s="198" t="s">
        <v>677</v>
      </c>
      <c r="B114" s="196" t="s">
        <v>678</v>
      </c>
      <c r="C114" s="194" t="s">
        <v>35</v>
      </c>
    </row>
    <row r="115" spans="1:3" x14ac:dyDescent="0.2">
      <c r="A115" s="198" t="s">
        <v>679</v>
      </c>
      <c r="B115" s="196" t="s">
        <v>680</v>
      </c>
      <c r="C115" s="194" t="s">
        <v>681</v>
      </c>
    </row>
    <row r="116" spans="1:3" ht="30" x14ac:dyDescent="0.2">
      <c r="A116" s="198" t="s">
        <v>682</v>
      </c>
      <c r="B116" s="196" t="s">
        <v>683</v>
      </c>
      <c r="C116" s="194" t="s">
        <v>35</v>
      </c>
    </row>
    <row r="117" spans="1:3" ht="28.5" x14ac:dyDescent="0.2">
      <c r="A117" s="202">
        <v>22</v>
      </c>
      <c r="B117" s="193" t="s">
        <v>684</v>
      </c>
      <c r="C117" s="194" t="s">
        <v>35</v>
      </c>
    </row>
    <row r="118" spans="1:3" x14ac:dyDescent="0.2">
      <c r="A118" s="202"/>
      <c r="B118" s="196" t="s">
        <v>560</v>
      </c>
      <c r="C118" s="194" t="s">
        <v>35</v>
      </c>
    </row>
    <row r="119" spans="1:3" ht="30" x14ac:dyDescent="0.2">
      <c r="A119" s="198" t="s">
        <v>685</v>
      </c>
      <c r="B119" s="196" t="s">
        <v>686</v>
      </c>
      <c r="C119" s="194">
        <v>7</v>
      </c>
    </row>
    <row r="120" spans="1:3" x14ac:dyDescent="0.2">
      <c r="A120" s="198" t="s">
        <v>687</v>
      </c>
      <c r="B120" s="196" t="s">
        <v>688</v>
      </c>
      <c r="C120" s="194">
        <v>6</v>
      </c>
    </row>
    <row r="121" spans="1:3" x14ac:dyDescent="0.2">
      <c r="A121" s="198" t="s">
        <v>689</v>
      </c>
      <c r="B121" s="196" t="s">
        <v>690</v>
      </c>
      <c r="C121" s="194">
        <v>1</v>
      </c>
    </row>
    <row r="122" spans="1:3" x14ac:dyDescent="0.2">
      <c r="A122" s="198" t="s">
        <v>691</v>
      </c>
      <c r="B122" s="193" t="s">
        <v>692</v>
      </c>
      <c r="C122" s="203">
        <v>642</v>
      </c>
    </row>
    <row r="123" spans="1:3" x14ac:dyDescent="0.2">
      <c r="A123" s="198" t="s">
        <v>693</v>
      </c>
      <c r="B123" s="193" t="s">
        <v>694</v>
      </c>
      <c r="C123" s="194" t="s">
        <v>35</v>
      </c>
    </row>
    <row r="124" spans="1:3" x14ac:dyDescent="0.2">
      <c r="A124" s="198" t="s">
        <v>695</v>
      </c>
      <c r="B124" s="196" t="s">
        <v>696</v>
      </c>
      <c r="C124" s="204">
        <v>45174</v>
      </c>
    </row>
    <row r="125" spans="1:3" x14ac:dyDescent="0.2">
      <c r="A125" s="198" t="s">
        <v>697</v>
      </c>
      <c r="B125" s="196" t="s">
        <v>698</v>
      </c>
      <c r="C125" s="194" t="s">
        <v>35</v>
      </c>
    </row>
    <row r="126" spans="1:3" x14ac:dyDescent="0.2">
      <c r="A126" s="198" t="s">
        <v>699</v>
      </c>
      <c r="B126" s="196" t="s">
        <v>700</v>
      </c>
      <c r="C126" s="194" t="s">
        <v>35</v>
      </c>
    </row>
    <row r="127" spans="1:3" ht="28.5" x14ac:dyDescent="0.2">
      <c r="A127" s="198" t="s">
        <v>701</v>
      </c>
      <c r="B127" s="193" t="s">
        <v>702</v>
      </c>
      <c r="C127" s="194" t="s">
        <v>35</v>
      </c>
    </row>
    <row r="128" spans="1:3" ht="28.5" x14ac:dyDescent="0.2">
      <c r="A128" s="198" t="s">
        <v>703</v>
      </c>
      <c r="B128" s="193" t="s">
        <v>704</v>
      </c>
      <c r="C128" s="194" t="s">
        <v>35</v>
      </c>
    </row>
    <row r="129" spans="1:3" ht="17.25" customHeight="1" x14ac:dyDescent="0.2">
      <c r="A129" s="198" t="s">
        <v>705</v>
      </c>
      <c r="B129" s="196" t="s">
        <v>706</v>
      </c>
      <c r="C129" s="194" t="s">
        <v>35</v>
      </c>
    </row>
    <row r="130" spans="1:3" ht="17.25" customHeight="1" x14ac:dyDescent="0.2">
      <c r="A130" s="198" t="s">
        <v>707</v>
      </c>
      <c r="B130" s="196" t="s">
        <v>708</v>
      </c>
      <c r="C130" s="194" t="s">
        <v>35</v>
      </c>
    </row>
    <row r="131" spans="1:3" ht="17.25" customHeight="1" x14ac:dyDescent="0.2">
      <c r="A131" s="198" t="s">
        <v>709</v>
      </c>
      <c r="B131" s="196" t="s">
        <v>710</v>
      </c>
      <c r="C131" s="194" t="s">
        <v>35</v>
      </c>
    </row>
    <row r="132" spans="1:3" ht="17.25" customHeight="1" x14ac:dyDescent="0.2">
      <c r="A132" s="198" t="s">
        <v>711</v>
      </c>
      <c r="B132" s="196" t="s">
        <v>712</v>
      </c>
      <c r="C132" s="194" t="s">
        <v>35</v>
      </c>
    </row>
    <row r="133" spans="1:3" ht="17.25" customHeight="1" x14ac:dyDescent="0.2">
      <c r="A133" s="198" t="s">
        <v>713</v>
      </c>
      <c r="B133" s="205" t="s">
        <v>714</v>
      </c>
      <c r="C133" s="194" t="s">
        <v>715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A10" zoomScale="96" zoomScaleNormal="96" workbookViewId="0">
      <selection activeCell="A14" sqref="A14:S14"/>
    </sheetView>
  </sheetViews>
  <sheetFormatPr defaultColWidth="9" defaultRowHeight="15" x14ac:dyDescent="0.2"/>
  <cols>
    <col min="1" max="1" width="5.85546875" style="27" customWidth="1"/>
    <col min="2" max="2" width="19" style="17" customWidth="1"/>
    <col min="3" max="3" width="23.140625" style="17" customWidth="1"/>
    <col min="4" max="4" width="17.28515625" style="17" customWidth="1"/>
    <col min="5" max="5" width="34.85546875" style="17" customWidth="1"/>
    <col min="6" max="6" width="34.140625" style="17" customWidth="1"/>
    <col min="7" max="7" width="36.140625" style="17" customWidth="1"/>
    <col min="8" max="8" width="17.140625" style="17" customWidth="1"/>
    <col min="9" max="9" width="17.28515625" style="17" customWidth="1"/>
    <col min="10" max="10" width="16.85546875" style="17" customWidth="1"/>
    <col min="11" max="11" width="15.140625" style="17" customWidth="1"/>
    <col min="12" max="12" width="14.7109375" style="17" customWidth="1"/>
    <col min="13" max="13" width="18.7109375" style="17" customWidth="1"/>
    <col min="14" max="14" width="19.85546875" style="17" customWidth="1"/>
    <col min="15" max="15" width="20.42578125" style="17" customWidth="1"/>
    <col min="16" max="16" width="18.85546875" style="17" customWidth="1"/>
    <col min="17" max="17" width="48.42578125" style="17" customWidth="1"/>
    <col min="18" max="18" width="20.42578125" style="17" customWidth="1"/>
    <col min="19" max="19" width="27.5703125" style="17" customWidth="1"/>
    <col min="20" max="1025" width="8.42578125" style="18" customWidth="1"/>
  </cols>
  <sheetData>
    <row r="1" spans="1:19" s="19" customFormat="1" ht="15.75" customHeight="1" x14ac:dyDescent="0.25">
      <c r="R1" s="8" t="s">
        <v>0</v>
      </c>
      <c r="S1" s="8"/>
    </row>
    <row r="2" spans="1:19" s="19" customFormat="1" ht="15.75" customHeight="1" x14ac:dyDescent="0.25">
      <c r="R2" s="8" t="s">
        <v>1</v>
      </c>
      <c r="S2" s="8"/>
    </row>
    <row r="3" spans="1:19" s="19" customFormat="1" ht="15.75" customHeight="1" x14ac:dyDescent="0.25">
      <c r="R3" s="8" t="s">
        <v>2</v>
      </c>
      <c r="S3" s="8"/>
    </row>
    <row r="4" spans="1:19" s="19" customFormat="1" ht="15.75" customHeight="1" x14ac:dyDescent="0.25">
      <c r="A4" s="14" t="str">
        <f>'1. паспорт местоположение'!A5:C5</f>
        <v>Год раскрытия информации: 2023 год</v>
      </c>
      <c r="B4" s="14"/>
      <c r="C4" s="14"/>
      <c r="D4" s="14"/>
      <c r="E4" s="14"/>
      <c r="F4" s="14"/>
      <c r="G4" s="14"/>
      <c r="H4" s="14"/>
      <c r="I4" s="14"/>
      <c r="J4" s="14"/>
      <c r="K4" s="14"/>
      <c r="L4" s="14"/>
      <c r="M4" s="14"/>
      <c r="N4" s="14"/>
      <c r="O4" s="14"/>
      <c r="P4" s="14"/>
      <c r="Q4" s="14"/>
      <c r="R4" s="14"/>
      <c r="S4" s="14"/>
    </row>
    <row r="5" spans="1:19" s="19" customFormat="1" ht="15.75" customHeight="1" x14ac:dyDescent="0.25"/>
    <row r="6" spans="1:19" s="19" customFormat="1" ht="18.75" customHeight="1" x14ac:dyDescent="0.3">
      <c r="A6" s="13" t="s">
        <v>4</v>
      </c>
      <c r="B6" s="13"/>
      <c r="C6" s="13"/>
      <c r="D6" s="13"/>
      <c r="E6" s="13"/>
      <c r="F6" s="13"/>
      <c r="G6" s="13"/>
      <c r="H6" s="13"/>
      <c r="I6" s="13"/>
      <c r="J6" s="13"/>
      <c r="K6" s="13"/>
      <c r="L6" s="13"/>
      <c r="M6" s="13"/>
      <c r="N6" s="13"/>
      <c r="O6" s="13"/>
      <c r="P6" s="13"/>
      <c r="Q6" s="13"/>
      <c r="R6" s="13"/>
      <c r="S6" s="13"/>
    </row>
    <row r="7" spans="1:19" s="19" customFormat="1" ht="18.75" customHeight="1" x14ac:dyDescent="0.25"/>
    <row r="8" spans="1:19" s="19" customFormat="1" ht="15.75" customHeight="1" x14ac:dyDescent="0.25">
      <c r="A8" s="12" t="s">
        <v>5</v>
      </c>
      <c r="B8" s="12"/>
      <c r="C8" s="12"/>
      <c r="D8" s="12"/>
      <c r="E8" s="12"/>
      <c r="F8" s="12"/>
      <c r="G8" s="12"/>
      <c r="H8" s="12"/>
      <c r="I8" s="12"/>
      <c r="J8" s="12"/>
      <c r="K8" s="12"/>
      <c r="L8" s="12"/>
      <c r="M8" s="12"/>
      <c r="N8" s="12"/>
      <c r="O8" s="12"/>
      <c r="P8" s="12"/>
      <c r="Q8" s="12"/>
      <c r="R8" s="12"/>
      <c r="S8" s="12"/>
    </row>
    <row r="9" spans="1:19" s="19" customFormat="1" ht="15.75" customHeight="1" x14ac:dyDescent="0.25">
      <c r="A9" s="11" t="s">
        <v>6</v>
      </c>
      <c r="B9" s="11"/>
      <c r="C9" s="11"/>
      <c r="D9" s="11"/>
      <c r="E9" s="11"/>
      <c r="F9" s="11"/>
      <c r="G9" s="11"/>
      <c r="H9" s="11"/>
      <c r="I9" s="11"/>
      <c r="J9" s="11"/>
      <c r="K9" s="11"/>
      <c r="L9" s="11"/>
      <c r="M9" s="11"/>
      <c r="N9" s="11"/>
      <c r="O9" s="11"/>
      <c r="P9" s="11"/>
      <c r="Q9" s="11"/>
      <c r="R9" s="11"/>
      <c r="S9" s="11"/>
    </row>
    <row r="10" spans="1:19" s="19" customFormat="1" ht="18.75" customHeight="1" x14ac:dyDescent="0.25"/>
    <row r="11" spans="1:19" s="19" customFormat="1" ht="15.75" customHeight="1" x14ac:dyDescent="0.25">
      <c r="A11" s="12" t="str">
        <f>'1. паспорт местоположение'!A12:C12</f>
        <v>L_0200001105</v>
      </c>
      <c r="B11" s="12"/>
      <c r="C11" s="12"/>
      <c r="D11" s="12"/>
      <c r="E11" s="12"/>
      <c r="F11" s="12"/>
      <c r="G11" s="12"/>
      <c r="H11" s="12"/>
      <c r="I11" s="12"/>
      <c r="J11" s="12"/>
      <c r="K11" s="12"/>
      <c r="L11" s="12"/>
      <c r="M11" s="12"/>
      <c r="N11" s="12"/>
      <c r="O11" s="12"/>
      <c r="P11" s="12"/>
      <c r="Q11" s="12"/>
      <c r="R11" s="12"/>
      <c r="S11" s="12"/>
    </row>
    <row r="12" spans="1:19" s="19" customFormat="1" ht="15.75" customHeight="1" x14ac:dyDescent="0.25">
      <c r="A12" s="11" t="s">
        <v>8</v>
      </c>
      <c r="B12" s="11"/>
      <c r="C12" s="11"/>
      <c r="D12" s="11"/>
      <c r="E12" s="11"/>
      <c r="F12" s="11"/>
      <c r="G12" s="11"/>
      <c r="H12" s="11"/>
      <c r="I12" s="11"/>
      <c r="J12" s="11"/>
      <c r="K12" s="11"/>
      <c r="L12" s="11"/>
      <c r="M12" s="11"/>
      <c r="N12" s="11"/>
      <c r="O12" s="11"/>
      <c r="P12" s="11"/>
      <c r="Q12" s="11"/>
      <c r="R12" s="11"/>
      <c r="S12" s="11"/>
    </row>
    <row r="13" spans="1:19" s="19" customFormat="1" ht="18.75" customHeight="1" x14ac:dyDescent="0.25"/>
    <row r="14" spans="1:19" s="19" customFormat="1" ht="15.75" customHeight="1" x14ac:dyDescent="0.25">
      <c r="A14" s="12" t="str">
        <f>'1. паспорт местоположение'!A15:C15</f>
        <v>Реконструкция ВЛ-0,4кВ от ТП-1105, ул. Мраморная,  (ДНТ «Березка») ул. Драгоценная  г. Ростов-на-Дону</v>
      </c>
      <c r="B14" s="12"/>
      <c r="C14" s="12"/>
      <c r="D14" s="12"/>
      <c r="E14" s="12"/>
      <c r="F14" s="12"/>
      <c r="G14" s="12"/>
      <c r="H14" s="12"/>
      <c r="I14" s="12"/>
      <c r="J14" s="12"/>
      <c r="K14" s="12"/>
      <c r="L14" s="12"/>
      <c r="M14" s="12"/>
      <c r="N14" s="12"/>
      <c r="O14" s="12"/>
      <c r="P14" s="12"/>
      <c r="Q14" s="12"/>
      <c r="R14" s="12"/>
      <c r="S14" s="12"/>
    </row>
    <row r="15" spans="1:19" s="19" customFormat="1" ht="15.75" customHeight="1" x14ac:dyDescent="0.25">
      <c r="A15" s="11" t="s">
        <v>10</v>
      </c>
      <c r="B15" s="11"/>
      <c r="C15" s="11"/>
      <c r="D15" s="11"/>
      <c r="E15" s="11"/>
      <c r="F15" s="11"/>
      <c r="G15" s="11"/>
      <c r="H15" s="11"/>
      <c r="I15" s="11"/>
      <c r="J15" s="11"/>
      <c r="K15" s="11"/>
      <c r="L15" s="11"/>
      <c r="M15" s="11"/>
      <c r="N15" s="11"/>
      <c r="O15" s="11"/>
      <c r="P15" s="11"/>
      <c r="Q15" s="11"/>
      <c r="R15" s="11"/>
      <c r="S15" s="11"/>
    </row>
    <row r="16" spans="1:19" s="19" customFormat="1" ht="18.75" customHeight="1" x14ac:dyDescent="0.25"/>
    <row r="17" spans="1:19" ht="36" customHeight="1" x14ac:dyDescent="0.2">
      <c r="A17" s="7" t="s">
        <v>49</v>
      </c>
      <c r="B17" s="7"/>
      <c r="C17" s="7"/>
      <c r="D17" s="7"/>
      <c r="E17" s="7"/>
      <c r="F17" s="7"/>
      <c r="G17" s="7"/>
      <c r="H17" s="7"/>
      <c r="I17" s="7"/>
      <c r="J17" s="7"/>
      <c r="K17" s="7"/>
      <c r="L17" s="7"/>
      <c r="M17" s="7"/>
      <c r="N17" s="7"/>
      <c r="O17" s="7"/>
      <c r="P17" s="7"/>
      <c r="Q17" s="7"/>
      <c r="R17" s="7"/>
      <c r="S17" s="7"/>
    </row>
    <row r="18" spans="1:19" ht="15.75" customHeight="1" x14ac:dyDescent="0.2">
      <c r="A18" s="6"/>
      <c r="B18" s="6"/>
      <c r="C18" s="6"/>
      <c r="D18" s="6"/>
      <c r="E18" s="6"/>
      <c r="F18" s="6"/>
      <c r="G18" s="6"/>
      <c r="H18" s="6"/>
      <c r="I18" s="6"/>
      <c r="J18" s="6"/>
      <c r="K18" s="6"/>
      <c r="L18" s="6"/>
      <c r="M18" s="6"/>
      <c r="N18" s="6"/>
      <c r="O18" s="6"/>
      <c r="P18" s="6"/>
      <c r="Q18" s="6"/>
      <c r="R18" s="6"/>
      <c r="S18" s="6"/>
    </row>
    <row r="19" spans="1:19" ht="37.5" customHeight="1" x14ac:dyDescent="0.2">
      <c r="A19" s="5" t="s">
        <v>12</v>
      </c>
      <c r="B19" s="5" t="s">
        <v>50</v>
      </c>
      <c r="C19" s="5" t="s">
        <v>51</v>
      </c>
      <c r="D19" s="5" t="s">
        <v>52</v>
      </c>
      <c r="E19" s="5" t="s">
        <v>53</v>
      </c>
      <c r="F19" s="5" t="s">
        <v>54</v>
      </c>
      <c r="G19" s="5" t="s">
        <v>55</v>
      </c>
      <c r="H19" s="5" t="s">
        <v>56</v>
      </c>
      <c r="I19" s="5" t="s">
        <v>57</v>
      </c>
      <c r="J19" s="5" t="s">
        <v>58</v>
      </c>
      <c r="K19" s="5" t="s">
        <v>59</v>
      </c>
      <c r="L19" s="5" t="s">
        <v>60</v>
      </c>
      <c r="M19" s="5" t="s">
        <v>61</v>
      </c>
      <c r="N19" s="5" t="s">
        <v>62</v>
      </c>
      <c r="O19" s="5" t="s">
        <v>63</v>
      </c>
      <c r="P19" s="5" t="s">
        <v>64</v>
      </c>
      <c r="Q19" s="5" t="s">
        <v>65</v>
      </c>
      <c r="R19" s="5"/>
      <c r="S19" s="5" t="s">
        <v>66</v>
      </c>
    </row>
    <row r="20" spans="1:19" ht="201" customHeight="1" x14ac:dyDescent="0.2">
      <c r="A20" s="5"/>
      <c r="B20" s="5"/>
      <c r="C20" s="5"/>
      <c r="D20" s="5"/>
      <c r="E20" s="5"/>
      <c r="F20" s="5"/>
      <c r="G20" s="5"/>
      <c r="H20" s="5"/>
      <c r="I20" s="5"/>
      <c r="J20" s="5"/>
      <c r="K20" s="5"/>
      <c r="L20" s="5"/>
      <c r="M20" s="5"/>
      <c r="N20" s="5"/>
      <c r="O20" s="5"/>
      <c r="P20" s="5"/>
      <c r="Q20" s="28" t="s">
        <v>67</v>
      </c>
      <c r="R20" s="28" t="s">
        <v>68</v>
      </c>
      <c r="S20" s="5"/>
    </row>
    <row r="21" spans="1:19" s="30" customFormat="1" ht="15.75" customHeight="1" x14ac:dyDescent="0.2">
      <c r="A21" s="29">
        <v>1</v>
      </c>
      <c r="B21" s="29">
        <v>2</v>
      </c>
      <c r="C21" s="29">
        <v>3</v>
      </c>
      <c r="D21" s="29">
        <v>4</v>
      </c>
      <c r="E21" s="29">
        <v>5</v>
      </c>
      <c r="F21" s="29">
        <v>6</v>
      </c>
      <c r="G21" s="29">
        <v>7</v>
      </c>
      <c r="H21" s="29">
        <v>8</v>
      </c>
      <c r="I21" s="29">
        <v>9</v>
      </c>
      <c r="J21" s="29">
        <v>10</v>
      </c>
      <c r="K21" s="29">
        <v>11</v>
      </c>
      <c r="L21" s="29">
        <v>12</v>
      </c>
      <c r="M21" s="29">
        <v>13</v>
      </c>
      <c r="N21" s="29">
        <v>14</v>
      </c>
      <c r="O21" s="29">
        <v>15</v>
      </c>
      <c r="P21" s="29">
        <v>16</v>
      </c>
      <c r="Q21" s="29">
        <v>17</v>
      </c>
      <c r="R21" s="29">
        <v>18</v>
      </c>
      <c r="S21" s="29">
        <v>19</v>
      </c>
    </row>
    <row r="22" spans="1:19" ht="15.75" customHeight="1" x14ac:dyDescent="0.2">
      <c r="A22" s="24">
        <v>1</v>
      </c>
      <c r="B22" s="21" t="s">
        <v>35</v>
      </c>
      <c r="C22" s="21" t="s">
        <v>35</v>
      </c>
      <c r="D22" s="21" t="s">
        <v>35</v>
      </c>
      <c r="E22" s="21" t="s">
        <v>35</v>
      </c>
      <c r="F22" s="21" t="s">
        <v>35</v>
      </c>
      <c r="G22" s="21" t="s">
        <v>35</v>
      </c>
      <c r="H22" s="21" t="s">
        <v>35</v>
      </c>
      <c r="I22" s="21" t="s">
        <v>35</v>
      </c>
      <c r="J22" s="21" t="s">
        <v>35</v>
      </c>
      <c r="K22" s="21" t="s">
        <v>35</v>
      </c>
      <c r="L22" s="21"/>
      <c r="M22" s="21" t="s">
        <v>35</v>
      </c>
      <c r="N22" s="21" t="s">
        <v>35</v>
      </c>
      <c r="O22" s="21" t="s">
        <v>35</v>
      </c>
      <c r="P22" s="21" t="s">
        <v>35</v>
      </c>
      <c r="Q22" s="21" t="s">
        <v>35</v>
      </c>
      <c r="R22" s="21" t="s">
        <v>35</v>
      </c>
      <c r="S22" s="21" t="s">
        <v>35</v>
      </c>
    </row>
    <row r="23" spans="1:19" ht="15.75" customHeight="1" x14ac:dyDescent="0.2">
      <c r="A23" s="31"/>
      <c r="B23" s="28" t="s">
        <v>69</v>
      </c>
      <c r="C23" s="28"/>
      <c r="D23" s="28"/>
      <c r="E23" s="31"/>
      <c r="F23" s="31"/>
      <c r="G23" s="31"/>
      <c r="H23" s="31"/>
      <c r="I23" s="31"/>
      <c r="J23" s="31"/>
      <c r="K23" s="31"/>
      <c r="L23" s="31"/>
      <c r="M23" s="31"/>
      <c r="N23" s="31"/>
      <c r="O23" s="31"/>
      <c r="P23" s="31"/>
      <c r="Q23" s="31"/>
      <c r="R23" s="32"/>
      <c r="S23" s="32"/>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5" zoomScale="99" zoomScaleNormal="99" workbookViewId="0">
      <selection activeCell="A24" sqref="A24"/>
    </sheetView>
  </sheetViews>
  <sheetFormatPr defaultColWidth="9" defaultRowHeight="15" x14ac:dyDescent="0.2"/>
  <cols>
    <col min="1" max="1" width="7.28515625" style="15" customWidth="1"/>
    <col min="2" max="2" width="11.140625" style="16" customWidth="1"/>
    <col min="3" max="3" width="10.85546875" style="16" customWidth="1"/>
    <col min="4" max="4" width="15" style="16" customWidth="1"/>
    <col min="5" max="15" width="9.28515625" style="16" customWidth="1"/>
    <col min="16" max="16" width="15.42578125" style="16" customWidth="1"/>
    <col min="17" max="18" width="18.5703125" style="16" customWidth="1"/>
    <col min="19" max="19" width="19.28515625" style="16" customWidth="1"/>
    <col min="20" max="20" width="16.140625" style="16" customWidth="1"/>
    <col min="21" max="1025" width="8.42578125" style="18" customWidth="1"/>
  </cols>
  <sheetData>
    <row r="1" spans="1:20" s="33" customFormat="1" ht="18.75" customHeight="1" x14ac:dyDescent="0.3">
      <c r="T1" s="34" t="s">
        <v>0</v>
      </c>
    </row>
    <row r="2" spans="1:20" s="33" customFormat="1" ht="18.75" customHeight="1" x14ac:dyDescent="0.3">
      <c r="T2" s="34" t="s">
        <v>1</v>
      </c>
    </row>
    <row r="3" spans="1:20" s="33" customFormat="1" ht="18.75" customHeight="1" x14ac:dyDescent="0.3">
      <c r="T3" s="34" t="s">
        <v>2</v>
      </c>
    </row>
    <row r="5" spans="1:20" s="33"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row>
    <row r="6" spans="1:20" s="35" customFormat="1" ht="15.75" customHeight="1" x14ac:dyDescent="0.2"/>
    <row r="7" spans="1:20" s="33" customFormat="1" ht="18.75" customHeight="1" x14ac:dyDescent="0.3">
      <c r="A7" s="13" t="s">
        <v>4</v>
      </c>
      <c r="B7" s="13"/>
      <c r="C7" s="13"/>
      <c r="D7" s="13"/>
      <c r="E7" s="13"/>
      <c r="F7" s="13"/>
      <c r="G7" s="13"/>
      <c r="H7" s="13"/>
      <c r="I7" s="13"/>
      <c r="J7" s="13"/>
      <c r="K7" s="13"/>
      <c r="L7" s="13"/>
      <c r="M7" s="13"/>
      <c r="N7" s="13"/>
      <c r="O7" s="13"/>
      <c r="P7" s="13"/>
      <c r="Q7" s="13"/>
      <c r="R7" s="13"/>
      <c r="S7" s="13"/>
      <c r="T7" s="13"/>
    </row>
    <row r="8" spans="1:20" s="35" customFormat="1" ht="15.75" customHeight="1" x14ac:dyDescent="0.2"/>
    <row r="9" spans="1:20" s="33" customFormat="1" ht="15.75" customHeight="1" x14ac:dyDescent="0.25">
      <c r="A9" s="12" t="s">
        <v>5</v>
      </c>
      <c r="B9" s="12"/>
      <c r="C9" s="12"/>
      <c r="D9" s="12"/>
      <c r="E9" s="12"/>
      <c r="F9" s="12"/>
      <c r="G9" s="12"/>
      <c r="H9" s="12"/>
      <c r="I9" s="12"/>
      <c r="J9" s="12"/>
      <c r="K9" s="12"/>
      <c r="L9" s="12"/>
      <c r="M9" s="12"/>
      <c r="N9" s="12"/>
      <c r="O9" s="12"/>
      <c r="P9" s="12"/>
      <c r="Q9" s="12"/>
      <c r="R9" s="12"/>
      <c r="S9" s="12"/>
      <c r="T9" s="12"/>
    </row>
    <row r="10" spans="1:20" ht="15.75" customHeight="1" x14ac:dyDescent="0.25">
      <c r="A10" s="11" t="s">
        <v>6</v>
      </c>
      <c r="B10" s="11"/>
      <c r="C10" s="11"/>
      <c r="D10" s="11"/>
      <c r="E10" s="11"/>
      <c r="F10" s="11"/>
      <c r="G10" s="11"/>
      <c r="H10" s="11"/>
      <c r="I10" s="11"/>
      <c r="J10" s="11"/>
      <c r="K10" s="11"/>
      <c r="L10" s="11"/>
      <c r="M10" s="11"/>
      <c r="N10" s="11"/>
      <c r="O10" s="11"/>
      <c r="P10" s="11"/>
      <c r="Q10" s="11"/>
      <c r="R10" s="11"/>
      <c r="S10" s="11"/>
      <c r="T10" s="11"/>
    </row>
    <row r="11" spans="1:20" s="35" customFormat="1" ht="15.75" customHeight="1" x14ac:dyDescent="0.2"/>
    <row r="12" spans="1:20" s="33" customFormat="1" ht="15.75" customHeight="1" x14ac:dyDescent="0.25">
      <c r="A12" s="12" t="str">
        <f>'1. паспорт местоположение'!A12:C12</f>
        <v>L_0200001105</v>
      </c>
      <c r="B12" s="12"/>
      <c r="C12" s="12"/>
      <c r="D12" s="12"/>
      <c r="E12" s="12"/>
      <c r="F12" s="12"/>
      <c r="G12" s="12"/>
      <c r="H12" s="12"/>
      <c r="I12" s="12"/>
      <c r="J12" s="12"/>
      <c r="K12" s="12"/>
      <c r="L12" s="12"/>
      <c r="M12" s="12"/>
      <c r="N12" s="12"/>
      <c r="O12" s="12"/>
      <c r="P12" s="12"/>
      <c r="Q12" s="12"/>
      <c r="R12" s="12"/>
      <c r="S12" s="12"/>
      <c r="T12" s="12"/>
    </row>
    <row r="13" spans="1:20" ht="15.75" customHeight="1" x14ac:dyDescent="0.25">
      <c r="A13" s="11" t="s">
        <v>8</v>
      </c>
      <c r="B13" s="11"/>
      <c r="C13" s="11"/>
      <c r="D13" s="11"/>
      <c r="E13" s="11"/>
      <c r="F13" s="11"/>
      <c r="G13" s="11"/>
      <c r="H13" s="11"/>
      <c r="I13" s="11"/>
      <c r="J13" s="11"/>
      <c r="K13" s="11"/>
      <c r="L13" s="11"/>
      <c r="M13" s="11"/>
      <c r="N13" s="11"/>
      <c r="O13" s="11"/>
      <c r="P13" s="11"/>
      <c r="Q13" s="11"/>
      <c r="R13" s="11"/>
      <c r="S13" s="11"/>
      <c r="T13" s="11"/>
    </row>
    <row r="14" spans="1:20" s="35" customFormat="1" ht="15.75" customHeight="1" x14ac:dyDescent="0.2"/>
    <row r="15" spans="1:20" s="33" customFormat="1" ht="15.75" customHeight="1" x14ac:dyDescent="0.25">
      <c r="A15" s="12" t="str">
        <f>'1. паспорт местоположение'!A15:C15</f>
        <v>Реконструкция ВЛ-0,4кВ от ТП-1105, ул. Мраморная,  (ДНТ «Березка») ул. Драгоценная  г. Ростов-на-Дону</v>
      </c>
      <c r="B15" s="12"/>
      <c r="C15" s="12"/>
      <c r="D15" s="12"/>
      <c r="E15" s="12"/>
      <c r="F15" s="12"/>
      <c r="G15" s="12"/>
      <c r="H15" s="12"/>
      <c r="I15" s="12"/>
      <c r="J15" s="12"/>
      <c r="K15" s="12"/>
      <c r="L15" s="12"/>
      <c r="M15" s="12"/>
      <c r="N15" s="12"/>
      <c r="O15" s="12"/>
      <c r="P15" s="12"/>
      <c r="Q15" s="12"/>
      <c r="R15" s="12"/>
      <c r="S15" s="12"/>
    </row>
    <row r="16" spans="1:20" ht="15.75" customHeight="1" x14ac:dyDescent="0.25">
      <c r="A16" s="11" t="s">
        <v>10</v>
      </c>
      <c r="B16" s="11"/>
      <c r="C16" s="11"/>
      <c r="D16" s="11"/>
      <c r="E16" s="11"/>
      <c r="F16" s="11"/>
      <c r="G16" s="11"/>
      <c r="H16" s="11"/>
      <c r="I16" s="11"/>
      <c r="J16" s="11"/>
      <c r="K16" s="11"/>
      <c r="L16" s="11"/>
      <c r="M16" s="11"/>
      <c r="N16" s="11"/>
      <c r="O16" s="11"/>
      <c r="P16" s="11"/>
      <c r="Q16" s="11"/>
      <c r="R16" s="11"/>
      <c r="S16" s="11"/>
      <c r="T16" s="11"/>
    </row>
    <row r="17" spans="1:20" s="35" customFormat="1" ht="15.75" customHeight="1" x14ac:dyDescent="0.2"/>
    <row r="18" spans="1:20" s="33" customFormat="1" ht="18.75" customHeight="1" x14ac:dyDescent="0.3">
      <c r="A18" s="4" t="s">
        <v>70</v>
      </c>
      <c r="B18" s="4"/>
      <c r="C18" s="4"/>
      <c r="D18" s="4"/>
      <c r="E18" s="4"/>
      <c r="F18" s="4"/>
      <c r="G18" s="4"/>
      <c r="H18" s="4"/>
      <c r="I18" s="4"/>
      <c r="J18" s="4"/>
      <c r="K18" s="4"/>
      <c r="L18" s="4"/>
      <c r="M18" s="4"/>
      <c r="N18" s="4"/>
      <c r="O18" s="4"/>
      <c r="P18" s="4"/>
      <c r="Q18" s="4"/>
      <c r="R18" s="4"/>
      <c r="S18" s="4"/>
      <c r="T18" s="4"/>
    </row>
    <row r="20" spans="1:20" s="33" customFormat="1" ht="30.75" customHeight="1" x14ac:dyDescent="0.25">
      <c r="A20" s="5" t="s">
        <v>12</v>
      </c>
      <c r="B20" s="5" t="s">
        <v>71</v>
      </c>
      <c r="C20" s="5"/>
      <c r="D20" s="5" t="s">
        <v>72</v>
      </c>
      <c r="E20" s="5" t="s">
        <v>73</v>
      </c>
      <c r="F20" s="5"/>
      <c r="G20" s="5" t="s">
        <v>74</v>
      </c>
      <c r="H20" s="5"/>
      <c r="I20" s="5" t="s">
        <v>75</v>
      </c>
      <c r="J20" s="5"/>
      <c r="K20" s="5" t="s">
        <v>76</v>
      </c>
      <c r="L20" s="5" t="s">
        <v>77</v>
      </c>
      <c r="M20" s="5"/>
      <c r="N20" s="5" t="s">
        <v>78</v>
      </c>
      <c r="O20" s="5"/>
      <c r="P20" s="5" t="s">
        <v>79</v>
      </c>
      <c r="Q20" s="5" t="s">
        <v>80</v>
      </c>
      <c r="R20" s="5"/>
      <c r="S20" s="5" t="s">
        <v>81</v>
      </c>
      <c r="T20" s="5"/>
    </row>
    <row r="21" spans="1:20" s="33" customFormat="1" ht="105.75" customHeight="1" x14ac:dyDescent="0.25">
      <c r="A21" s="5"/>
      <c r="B21" s="5"/>
      <c r="C21" s="5"/>
      <c r="D21" s="5"/>
      <c r="E21" s="5"/>
      <c r="F21" s="5"/>
      <c r="G21" s="5"/>
      <c r="H21" s="5"/>
      <c r="I21" s="5"/>
      <c r="J21" s="5"/>
      <c r="K21" s="5"/>
      <c r="L21" s="5"/>
      <c r="M21" s="5"/>
      <c r="N21" s="5"/>
      <c r="O21" s="5"/>
      <c r="P21" s="5"/>
      <c r="Q21" s="28" t="s">
        <v>82</v>
      </c>
      <c r="R21" s="28" t="s">
        <v>83</v>
      </c>
      <c r="S21" s="28" t="s">
        <v>84</v>
      </c>
      <c r="T21" s="28" t="s">
        <v>85</v>
      </c>
    </row>
    <row r="22" spans="1:20" s="33" customFormat="1" ht="15.75" customHeight="1" x14ac:dyDescent="0.25">
      <c r="A22" s="5"/>
      <c r="B22" s="28" t="s">
        <v>86</v>
      </c>
      <c r="C22" s="28" t="s">
        <v>87</v>
      </c>
      <c r="D22" s="5"/>
      <c r="E22" s="28" t="s">
        <v>86</v>
      </c>
      <c r="F22" s="28" t="s">
        <v>87</v>
      </c>
      <c r="G22" s="28" t="s">
        <v>86</v>
      </c>
      <c r="H22" s="28" t="s">
        <v>87</v>
      </c>
      <c r="I22" s="28" t="s">
        <v>86</v>
      </c>
      <c r="J22" s="28" t="s">
        <v>87</v>
      </c>
      <c r="K22" s="28" t="s">
        <v>86</v>
      </c>
      <c r="L22" s="28" t="s">
        <v>86</v>
      </c>
      <c r="M22" s="28" t="s">
        <v>87</v>
      </c>
      <c r="N22" s="28" t="s">
        <v>86</v>
      </c>
      <c r="O22" s="28" t="s">
        <v>87</v>
      </c>
      <c r="P22" s="28" t="s">
        <v>86</v>
      </c>
      <c r="Q22" s="28" t="s">
        <v>86</v>
      </c>
      <c r="R22" s="28" t="s">
        <v>86</v>
      </c>
      <c r="S22" s="28" t="s">
        <v>86</v>
      </c>
      <c r="T22" s="28" t="s">
        <v>86</v>
      </c>
    </row>
    <row r="23" spans="1:20" s="30" customFormat="1" ht="15.75" customHeight="1" x14ac:dyDescent="0.2">
      <c r="A23" s="36">
        <v>1</v>
      </c>
      <c r="B23" s="36">
        <v>2</v>
      </c>
      <c r="C23" s="36">
        <v>3</v>
      </c>
      <c r="D23" s="36">
        <v>4</v>
      </c>
      <c r="E23" s="36">
        <v>5</v>
      </c>
      <c r="F23" s="36">
        <v>6</v>
      </c>
      <c r="G23" s="36">
        <v>7</v>
      </c>
      <c r="H23" s="36">
        <v>8</v>
      </c>
      <c r="I23" s="36">
        <v>9</v>
      </c>
      <c r="J23" s="36">
        <v>10</v>
      </c>
      <c r="K23" s="36">
        <v>11</v>
      </c>
      <c r="L23" s="36">
        <v>12</v>
      </c>
      <c r="M23" s="36">
        <v>13</v>
      </c>
      <c r="N23" s="36">
        <v>14</v>
      </c>
      <c r="O23" s="36">
        <v>15</v>
      </c>
      <c r="P23" s="36">
        <v>16</v>
      </c>
      <c r="Q23" s="36">
        <v>17</v>
      </c>
      <c r="R23" s="36">
        <v>18</v>
      </c>
      <c r="S23" s="36">
        <v>19</v>
      </c>
      <c r="T23" s="36">
        <v>20</v>
      </c>
    </row>
    <row r="24" spans="1:20" ht="45.75" customHeight="1" x14ac:dyDescent="0.2">
      <c r="A24" s="24">
        <v>1</v>
      </c>
      <c r="B24" s="21" t="s">
        <v>35</v>
      </c>
      <c r="C24" s="21" t="s">
        <v>35</v>
      </c>
      <c r="D24" s="21" t="s">
        <v>35</v>
      </c>
      <c r="E24" s="21" t="s">
        <v>35</v>
      </c>
      <c r="F24" s="21" t="s">
        <v>35</v>
      </c>
      <c r="G24" s="21" t="s">
        <v>35</v>
      </c>
      <c r="H24" s="21" t="s">
        <v>35</v>
      </c>
      <c r="I24" s="21" t="s">
        <v>35</v>
      </c>
      <c r="J24" s="21" t="s">
        <v>35</v>
      </c>
      <c r="K24" s="21" t="s">
        <v>35</v>
      </c>
      <c r="L24" s="21" t="s">
        <v>35</v>
      </c>
      <c r="M24" s="21" t="s">
        <v>35</v>
      </c>
      <c r="N24" s="21" t="s">
        <v>35</v>
      </c>
      <c r="O24" s="21" t="s">
        <v>35</v>
      </c>
      <c r="P24" s="21" t="s">
        <v>35</v>
      </c>
      <c r="Q24" s="21" t="s">
        <v>35</v>
      </c>
      <c r="R24" s="21" t="s">
        <v>35</v>
      </c>
      <c r="S24" s="21" t="s">
        <v>35</v>
      </c>
      <c r="T24" s="21" t="s">
        <v>35</v>
      </c>
    </row>
    <row r="26" spans="1:20" s="33" customFormat="1" ht="15.75" customHeight="1" x14ac:dyDescent="0.25">
      <c r="B26" s="33" t="s">
        <v>88</v>
      </c>
    </row>
    <row r="27" spans="1:20" s="33" customFormat="1" ht="15.75" customHeight="1" x14ac:dyDescent="0.25">
      <c r="B27" s="33" t="s">
        <v>89</v>
      </c>
    </row>
    <row r="29" spans="1:20" s="33" customFormat="1" ht="15.75" customHeight="1" x14ac:dyDescent="0.25">
      <c r="B29" s="33" t="s">
        <v>90</v>
      </c>
    </row>
    <row r="30" spans="1:20" s="33" customFormat="1" ht="15.75" customHeight="1" x14ac:dyDescent="0.25">
      <c r="B30" s="33" t="s">
        <v>91</v>
      </c>
    </row>
    <row r="31" spans="1:20" s="33" customFormat="1" ht="15.75" customHeight="1" x14ac:dyDescent="0.25">
      <c r="B31" s="33" t="s">
        <v>92</v>
      </c>
    </row>
    <row r="32" spans="1:20" s="33" customFormat="1" ht="15.75" customHeight="1" x14ac:dyDescent="0.25">
      <c r="B32" s="33" t="s">
        <v>93</v>
      </c>
    </row>
    <row r="33" spans="2:2" s="33" customFormat="1" ht="15.75" customHeight="1" x14ac:dyDescent="0.25">
      <c r="B33" s="33" t="s">
        <v>94</v>
      </c>
    </row>
    <row r="34" spans="2:2" s="33" customFormat="1" ht="15.75" customHeight="1" x14ac:dyDescent="0.25">
      <c r="B34" s="33" t="s">
        <v>95</v>
      </c>
    </row>
    <row r="35" spans="2:2" s="33" customFormat="1" ht="15.75" customHeight="1" x14ac:dyDescent="0.25">
      <c r="B35" s="33" t="s">
        <v>96</v>
      </c>
    </row>
    <row r="36" spans="2:2" s="33" customFormat="1" ht="15.75" customHeight="1" x14ac:dyDescent="0.25">
      <c r="B36" s="33" t="s">
        <v>97</v>
      </c>
    </row>
    <row r="37" spans="2:2" s="33" customFormat="1" ht="15.75" customHeight="1" x14ac:dyDescent="0.25">
      <c r="B37" s="33" t="s">
        <v>98</v>
      </c>
    </row>
    <row r="38" spans="2:2" s="33" customFormat="1" ht="15.75" customHeight="1" x14ac:dyDescent="0.25">
      <c r="B38" s="33" t="s">
        <v>99</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30"/>
  <sheetViews>
    <sheetView topLeftCell="A11" zoomScaleNormal="100" workbookViewId="0">
      <selection activeCell="C29" sqref="C29"/>
    </sheetView>
  </sheetViews>
  <sheetFormatPr defaultColWidth="9" defaultRowHeight="15" x14ac:dyDescent="0.2"/>
  <cols>
    <col min="1" max="1" width="8.42578125" style="16" customWidth="1"/>
    <col min="2" max="2" width="52.28515625" style="16" customWidth="1"/>
    <col min="3" max="3" width="86.7109375" style="16" customWidth="1"/>
    <col min="4" max="1025" width="8.42578125" style="18" customWidth="1"/>
  </cols>
  <sheetData>
    <row r="1" spans="1:3" s="33" customFormat="1" ht="18.75" customHeight="1" x14ac:dyDescent="0.3">
      <c r="C1" s="34" t="s">
        <v>0</v>
      </c>
    </row>
    <row r="2" spans="1:3" s="33" customFormat="1" ht="18.75" customHeight="1" x14ac:dyDescent="0.3">
      <c r="C2" s="34" t="s">
        <v>1</v>
      </c>
    </row>
    <row r="3" spans="1:3" s="33" customFormat="1" ht="18.75" customHeight="1" x14ac:dyDescent="0.3">
      <c r="C3" s="34" t="s">
        <v>2</v>
      </c>
    </row>
    <row r="4" spans="1:3" s="33" customFormat="1" ht="15.75" customHeight="1" x14ac:dyDescent="0.25"/>
    <row r="5" spans="1:3" s="33" customFormat="1" ht="15.75" customHeight="1" x14ac:dyDescent="0.25">
      <c r="A5" s="14" t="str">
        <f>'1. паспорт местоположение'!A5:C5</f>
        <v>Год раскрытия информации: 2023 год</v>
      </c>
      <c r="B5" s="14"/>
      <c r="C5" s="14"/>
    </row>
    <row r="6" spans="1:3" s="33" customFormat="1" ht="15.75" customHeight="1" x14ac:dyDescent="0.25"/>
    <row r="7" spans="1:3" s="33" customFormat="1" ht="18.75" customHeight="1" x14ac:dyDescent="0.3">
      <c r="A7" s="13" t="s">
        <v>4</v>
      </c>
      <c r="B7" s="13"/>
      <c r="C7" s="13"/>
    </row>
    <row r="8" spans="1:3" s="33" customFormat="1" ht="15.75" customHeight="1" x14ac:dyDescent="0.25"/>
    <row r="9" spans="1:3" s="33" customFormat="1" ht="15.75" customHeight="1" x14ac:dyDescent="0.25">
      <c r="A9" s="12" t="s">
        <v>5</v>
      </c>
      <c r="B9" s="12"/>
      <c r="C9" s="12"/>
    </row>
    <row r="10" spans="1:3" s="33" customFormat="1" ht="15.75" customHeight="1" x14ac:dyDescent="0.25">
      <c r="A10" s="11" t="s">
        <v>6</v>
      </c>
      <c r="B10" s="11"/>
      <c r="C10" s="11"/>
    </row>
    <row r="11" spans="1:3" s="33" customFormat="1" ht="15.75" customHeight="1" x14ac:dyDescent="0.25"/>
    <row r="12" spans="1:3" s="33" customFormat="1" ht="15.75" customHeight="1" x14ac:dyDescent="0.25">
      <c r="A12" s="12" t="str">
        <f>'1. паспорт местоположение'!A12:C12</f>
        <v>L_0200001105</v>
      </c>
      <c r="B12" s="12"/>
      <c r="C12" s="12"/>
    </row>
    <row r="13" spans="1:3" s="33" customFormat="1" ht="15.75" customHeight="1" x14ac:dyDescent="0.25">
      <c r="A13" s="11" t="s">
        <v>8</v>
      </c>
      <c r="B13" s="11"/>
      <c r="C13" s="11"/>
    </row>
    <row r="14" spans="1:3" s="33" customFormat="1" ht="15.75" customHeight="1" x14ac:dyDescent="0.25"/>
    <row r="15" spans="1:3" s="33" customFormat="1" ht="15.75" customHeight="1" x14ac:dyDescent="0.25">
      <c r="A15" s="12" t="str">
        <f>'1. паспорт местоположение'!A15:C15</f>
        <v>Реконструкция ВЛ-0,4кВ от ТП-1105, ул. Мраморная,  (ДНТ «Березка») ул. Драгоценная  г. Ростов-на-Дону</v>
      </c>
      <c r="B15" s="12"/>
      <c r="C15" s="12"/>
    </row>
    <row r="16" spans="1:3" s="33" customFormat="1" ht="15.75" customHeight="1" x14ac:dyDescent="0.25">
      <c r="A16" s="11" t="s">
        <v>10</v>
      </c>
      <c r="B16" s="11"/>
      <c r="C16" s="11"/>
    </row>
    <row r="17" spans="1:3" s="33" customFormat="1" ht="15.75" customHeight="1" x14ac:dyDescent="0.25"/>
    <row r="18" spans="1:3" s="33" customFormat="1" ht="18.75" customHeight="1" x14ac:dyDescent="0.3">
      <c r="A18" s="3" t="s">
        <v>100</v>
      </c>
      <c r="B18" s="3"/>
      <c r="C18" s="3"/>
    </row>
    <row r="19" spans="1:3" s="33" customFormat="1" ht="15.75" customHeight="1" x14ac:dyDescent="0.25"/>
    <row r="20" spans="1:3" ht="30" customHeight="1" x14ac:dyDescent="0.2">
      <c r="A20" s="28" t="s">
        <v>12</v>
      </c>
      <c r="B20" s="28" t="s">
        <v>13</v>
      </c>
      <c r="C20" s="28" t="s">
        <v>14</v>
      </c>
    </row>
    <row r="21" spans="1:3" s="30" customFormat="1" ht="15.75" customHeight="1" x14ac:dyDescent="0.2">
      <c r="A21" s="22">
        <v>1</v>
      </c>
      <c r="B21" s="22">
        <v>2</v>
      </c>
      <c r="C21" s="22">
        <v>3</v>
      </c>
    </row>
    <row r="22" spans="1:3" s="37" customFormat="1" ht="30.75" customHeight="1" x14ac:dyDescent="0.2">
      <c r="A22" s="24">
        <v>1</v>
      </c>
      <c r="B22" s="25" t="s">
        <v>101</v>
      </c>
      <c r="C22" s="21" t="s">
        <v>102</v>
      </c>
    </row>
    <row r="23" spans="1:3" s="37" customFormat="1" ht="30.75" customHeight="1" x14ac:dyDescent="0.2">
      <c r="A23" s="24">
        <v>2</v>
      </c>
      <c r="B23" s="25" t="s">
        <v>103</v>
      </c>
      <c r="C23" s="21" t="s">
        <v>104</v>
      </c>
    </row>
    <row r="24" spans="1:3" s="37" customFormat="1" ht="45.75" customHeight="1" x14ac:dyDescent="0.2">
      <c r="A24" s="24">
        <v>3</v>
      </c>
      <c r="B24" s="25" t="s">
        <v>105</v>
      </c>
      <c r="C24" s="21" t="s">
        <v>106</v>
      </c>
    </row>
    <row r="25" spans="1:3" s="37" customFormat="1" ht="30.75" customHeight="1" x14ac:dyDescent="0.2">
      <c r="A25" s="24">
        <v>4</v>
      </c>
      <c r="B25" s="25" t="s">
        <v>107</v>
      </c>
      <c r="C25" s="21" t="s">
        <v>35</v>
      </c>
    </row>
    <row r="26" spans="1:3" s="37" customFormat="1" ht="40.5" customHeight="1" x14ac:dyDescent="0.2">
      <c r="A26" s="24">
        <v>5</v>
      </c>
      <c r="B26" s="25" t="s">
        <v>108</v>
      </c>
      <c r="C26" s="21" t="s">
        <v>109</v>
      </c>
    </row>
    <row r="27" spans="1:3" s="37" customFormat="1" ht="36" customHeight="1" x14ac:dyDescent="0.2">
      <c r="A27" s="24">
        <v>6</v>
      </c>
      <c r="B27" s="25" t="s">
        <v>110</v>
      </c>
      <c r="C27" s="21" t="s">
        <v>111</v>
      </c>
    </row>
    <row r="28" spans="1:3" s="37" customFormat="1" ht="23.25" customHeight="1" x14ac:dyDescent="0.2">
      <c r="A28" s="24">
        <v>7</v>
      </c>
      <c r="B28" s="25" t="s">
        <v>112</v>
      </c>
      <c r="C28" s="24">
        <v>2023</v>
      </c>
    </row>
    <row r="29" spans="1:3" s="37" customFormat="1" ht="33" customHeight="1" x14ac:dyDescent="0.2">
      <c r="A29" s="24">
        <v>8</v>
      </c>
      <c r="B29" s="25" t="s">
        <v>113</v>
      </c>
      <c r="C29" s="24">
        <v>2023</v>
      </c>
    </row>
    <row r="30" spans="1:3" s="38" customFormat="1" ht="31.5" customHeight="1" x14ac:dyDescent="0.2">
      <c r="A30" s="24">
        <v>9</v>
      </c>
      <c r="B30" s="25" t="s">
        <v>114</v>
      </c>
      <c r="C30" s="21" t="s">
        <v>115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25"/>
  <sheetViews>
    <sheetView topLeftCell="G13" zoomScale="95" zoomScaleNormal="95" workbookViewId="0">
      <selection activeCell="T28" sqref="T28"/>
    </sheetView>
  </sheetViews>
  <sheetFormatPr defaultColWidth="9" defaultRowHeight="15" x14ac:dyDescent="0.2"/>
  <cols>
    <col min="1" max="1" width="6.42578125" style="16" customWidth="1"/>
    <col min="2" max="3" width="9.28515625" style="16" customWidth="1"/>
    <col min="4" max="5" width="17.5703125" style="16" customWidth="1"/>
    <col min="6" max="6" width="7.140625" style="16" customWidth="1"/>
    <col min="7" max="7" width="8.42578125" style="16" customWidth="1"/>
    <col min="8" max="8" width="6.85546875" style="16" customWidth="1"/>
    <col min="9" max="9" width="8.42578125" style="16" customWidth="1"/>
    <col min="10" max="10" width="14.7109375" style="16" customWidth="1"/>
    <col min="11" max="12" width="9.140625" style="16" customWidth="1"/>
    <col min="13" max="13" width="7.85546875" style="16" customWidth="1"/>
    <col min="14" max="14" width="13.42578125" style="16" customWidth="1"/>
    <col min="15" max="16" width="8.42578125" style="16" customWidth="1"/>
    <col min="17" max="18" width="9.85546875" style="16" customWidth="1"/>
    <col min="19" max="19" width="17.5703125" style="16" customWidth="1"/>
    <col min="20" max="20" width="19.28515625" style="16" customWidth="1"/>
    <col min="21" max="21" width="15" style="16" customWidth="1"/>
    <col min="22" max="23" width="12.28515625" style="16" customWidth="1"/>
    <col min="24" max="24" width="33.140625" style="16" customWidth="1"/>
    <col min="25" max="25" width="15.7109375" style="16" customWidth="1"/>
    <col min="26" max="26" width="21" style="16" customWidth="1"/>
    <col min="27" max="27" width="13.28515625" style="16" customWidth="1"/>
    <col min="28" max="1025" width="8.42578125" style="18" customWidth="1"/>
  </cols>
  <sheetData>
    <row r="1" spans="1:27" s="33" customFormat="1" ht="18.75" customHeight="1" x14ac:dyDescent="0.3">
      <c r="AA1" s="34" t="s">
        <v>0</v>
      </c>
    </row>
    <row r="2" spans="1:27" s="33" customFormat="1" ht="18.75" customHeight="1" x14ac:dyDescent="0.3">
      <c r="AA2" s="34" t="s">
        <v>1</v>
      </c>
    </row>
    <row r="3" spans="1:27" s="33" customFormat="1" ht="18.75" customHeight="1" x14ac:dyDescent="0.3">
      <c r="AA3" s="34" t="s">
        <v>2</v>
      </c>
    </row>
    <row r="5" spans="1:27" s="33"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35" customFormat="1" ht="15.75" customHeight="1" x14ac:dyDescent="0.2"/>
    <row r="7" spans="1:27" s="33"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s="35" customFormat="1" ht="15.75" customHeight="1" x14ac:dyDescent="0.2"/>
    <row r="9" spans="1:27" s="33" customFormat="1" ht="15.75" customHeight="1"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row>
    <row r="11" spans="1:27" s="35" customFormat="1" ht="15.75" customHeight="1" x14ac:dyDescent="0.2"/>
    <row r="12" spans="1:27" s="33" customFormat="1" ht="15.75" customHeight="1" x14ac:dyDescent="0.25">
      <c r="A12" s="12" t="str">
        <f>'1. паспорт местоположение'!A12:C12</f>
        <v>L_0200001105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row>
    <row r="14" spans="1:27" s="35" customFormat="1" ht="15.75" customHeight="1" x14ac:dyDescent="0.2"/>
    <row r="15" spans="1:27" s="33" customFormat="1" ht="15.75" customHeight="1" x14ac:dyDescent="0.25">
      <c r="A15" s="12" t="str">
        <f>'1. паспорт местоположение'!A15:C15</f>
        <v>Реконструкция ВЛ-0,4кВ от ТП-1105, ул. Мраморная,  (ДНТ «Березка») ул. Драгоценная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s="35" customFormat="1" ht="15.75" customHeight="1" x14ac:dyDescent="0.2"/>
    <row r="18" spans="1:27" s="35" customFormat="1" ht="15.75" customHeight="1" x14ac:dyDescent="0.2"/>
    <row r="19" spans="1:27" s="33" customFormat="1" ht="18.75" customHeight="1" x14ac:dyDescent="0.3">
      <c r="A19" s="4" t="s">
        <v>116</v>
      </c>
      <c r="B19" s="4"/>
      <c r="C19" s="4"/>
      <c r="D19" s="4"/>
      <c r="E19" s="4"/>
      <c r="F19" s="4"/>
      <c r="G19" s="4"/>
      <c r="H19" s="4"/>
      <c r="I19" s="4"/>
      <c r="J19" s="4"/>
      <c r="K19" s="4"/>
      <c r="L19" s="4"/>
      <c r="M19" s="4"/>
      <c r="N19" s="4"/>
      <c r="O19" s="4"/>
      <c r="P19" s="4"/>
      <c r="Q19" s="4"/>
      <c r="R19" s="4"/>
      <c r="S19" s="4"/>
      <c r="T19" s="4"/>
      <c r="U19" s="4"/>
      <c r="V19" s="4"/>
      <c r="W19" s="4"/>
      <c r="X19" s="4"/>
      <c r="Y19" s="4"/>
      <c r="Z19" s="4"/>
      <c r="AA19" s="4"/>
    </row>
    <row r="21" spans="1:27" s="33" customFormat="1" ht="60" customHeight="1" x14ac:dyDescent="0.25">
      <c r="A21" s="5" t="s">
        <v>12</v>
      </c>
      <c r="B21" s="5" t="s">
        <v>117</v>
      </c>
      <c r="C21" s="5"/>
      <c r="D21" s="5" t="s">
        <v>118</v>
      </c>
      <c r="E21" s="5"/>
      <c r="F21" s="5" t="s">
        <v>59</v>
      </c>
      <c r="G21" s="5"/>
      <c r="H21" s="5"/>
      <c r="I21" s="5"/>
      <c r="J21" s="2" t="s">
        <v>119</v>
      </c>
      <c r="K21" s="2" t="s">
        <v>120</v>
      </c>
      <c r="L21" s="2"/>
      <c r="M21" s="5" t="s">
        <v>121</v>
      </c>
      <c r="N21" s="5"/>
      <c r="O21" s="5" t="s">
        <v>122</v>
      </c>
      <c r="P21" s="5"/>
      <c r="Q21" s="5" t="s">
        <v>123</v>
      </c>
      <c r="R21" s="5"/>
      <c r="S21" s="5" t="s">
        <v>124</v>
      </c>
      <c r="T21" s="5" t="s">
        <v>125</v>
      </c>
      <c r="U21" s="5" t="s">
        <v>126</v>
      </c>
      <c r="V21" s="5" t="s">
        <v>127</v>
      </c>
      <c r="W21" s="5"/>
      <c r="X21" s="5" t="s">
        <v>80</v>
      </c>
      <c r="Y21" s="5"/>
      <c r="Z21" s="5" t="s">
        <v>128</v>
      </c>
      <c r="AA21" s="5"/>
    </row>
    <row r="22" spans="1:27" s="33" customFormat="1" ht="105.75" customHeight="1" x14ac:dyDescent="0.25">
      <c r="A22" s="5"/>
      <c r="B22" s="5"/>
      <c r="C22" s="5"/>
      <c r="D22" s="5"/>
      <c r="E22" s="5"/>
      <c r="F22" s="5" t="s">
        <v>129</v>
      </c>
      <c r="G22" s="5"/>
      <c r="H22" s="5" t="s">
        <v>130</v>
      </c>
      <c r="I22" s="5"/>
      <c r="J22" s="2"/>
      <c r="K22" s="2"/>
      <c r="L22" s="2"/>
      <c r="M22" s="5"/>
      <c r="N22" s="5"/>
      <c r="O22" s="5"/>
      <c r="P22" s="5"/>
      <c r="Q22" s="5"/>
      <c r="R22" s="5"/>
      <c r="S22" s="5"/>
      <c r="T22" s="5"/>
      <c r="U22" s="5"/>
      <c r="V22" s="5"/>
      <c r="W22" s="5"/>
      <c r="X22" s="28" t="s">
        <v>82</v>
      </c>
      <c r="Y22" s="28" t="s">
        <v>83</v>
      </c>
      <c r="Z22" s="28" t="s">
        <v>84</v>
      </c>
      <c r="AA22" s="28" t="s">
        <v>85</v>
      </c>
    </row>
    <row r="23" spans="1:27" s="33" customFormat="1" ht="15.75" customHeight="1" x14ac:dyDescent="0.25">
      <c r="A23" s="5"/>
      <c r="B23" s="28" t="s">
        <v>86</v>
      </c>
      <c r="C23" s="28" t="s">
        <v>87</v>
      </c>
      <c r="D23" s="28" t="s">
        <v>86</v>
      </c>
      <c r="E23" s="28" t="s">
        <v>87</v>
      </c>
      <c r="F23" s="28" t="s">
        <v>86</v>
      </c>
      <c r="G23" s="28" t="s">
        <v>87</v>
      </c>
      <c r="H23" s="28" t="s">
        <v>86</v>
      </c>
      <c r="I23" s="28" t="s">
        <v>87</v>
      </c>
      <c r="J23" s="28"/>
      <c r="K23" s="28" t="s">
        <v>86</v>
      </c>
      <c r="L23" s="28" t="s">
        <v>87</v>
      </c>
      <c r="M23" s="28" t="s">
        <v>86</v>
      </c>
      <c r="N23" s="28" t="s">
        <v>87</v>
      </c>
      <c r="O23" s="28" t="s">
        <v>86</v>
      </c>
      <c r="P23" s="28" t="s">
        <v>87</v>
      </c>
      <c r="Q23" s="28" t="s">
        <v>86</v>
      </c>
      <c r="R23" s="28" t="s">
        <v>87</v>
      </c>
      <c r="S23" s="28" t="s">
        <v>86</v>
      </c>
      <c r="T23" s="28" t="s">
        <v>86</v>
      </c>
      <c r="U23" s="28" t="s">
        <v>86</v>
      </c>
      <c r="V23" s="28" t="s">
        <v>86</v>
      </c>
      <c r="W23" s="28" t="s">
        <v>87</v>
      </c>
      <c r="X23" s="28" t="s">
        <v>86</v>
      </c>
      <c r="Y23" s="28" t="s">
        <v>86</v>
      </c>
      <c r="Z23" s="28" t="s">
        <v>86</v>
      </c>
      <c r="AA23" s="28" t="s">
        <v>86</v>
      </c>
    </row>
    <row r="24" spans="1:27" s="30" customFormat="1" ht="15.75" customHeight="1" x14ac:dyDescent="0.2">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ht="147" customHeight="1" x14ac:dyDescent="0.2">
      <c r="A25" s="24">
        <v>1</v>
      </c>
      <c r="B25" s="21" t="s">
        <v>131</v>
      </c>
      <c r="C25" s="21" t="s">
        <v>131</v>
      </c>
      <c r="D25" s="21" t="s">
        <v>132</v>
      </c>
      <c r="E25" s="21" t="s">
        <v>132</v>
      </c>
      <c r="F25" s="21">
        <v>0.4</v>
      </c>
      <c r="G25" s="21">
        <v>0.4</v>
      </c>
      <c r="H25" s="21">
        <v>0.4</v>
      </c>
      <c r="I25" s="21">
        <v>0.4</v>
      </c>
      <c r="J25" s="21" t="s">
        <v>35</v>
      </c>
      <c r="K25" s="21" t="s">
        <v>133</v>
      </c>
      <c r="L25" s="21" t="s">
        <v>133</v>
      </c>
      <c r="M25" s="21" t="s">
        <v>134</v>
      </c>
      <c r="N25" s="21" t="s">
        <v>135</v>
      </c>
      <c r="O25" s="21" t="s">
        <v>136</v>
      </c>
      <c r="P25" s="21" t="s">
        <v>136</v>
      </c>
      <c r="Q25" s="21">
        <v>4.99</v>
      </c>
      <c r="R25" s="40">
        <v>4.827</v>
      </c>
      <c r="S25" s="21" t="s">
        <v>35</v>
      </c>
      <c r="T25" s="21" t="s">
        <v>35</v>
      </c>
      <c r="U25" s="21" t="s">
        <v>35</v>
      </c>
      <c r="V25" s="21" t="s">
        <v>137</v>
      </c>
      <c r="W25" s="21" t="s">
        <v>138</v>
      </c>
      <c r="X25" s="21" t="s">
        <v>139</v>
      </c>
      <c r="Y25" s="21" t="s">
        <v>140</v>
      </c>
      <c r="Z25" s="21" t="s">
        <v>35</v>
      </c>
      <c r="AA25" s="21" t="s">
        <v>35</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topLeftCell="D2" zoomScale="90" zoomScaleNormal="90" workbookViewId="0">
      <selection activeCell="G28" sqref="G28"/>
    </sheetView>
  </sheetViews>
  <sheetFormatPr defaultColWidth="9" defaultRowHeight="12.75" x14ac:dyDescent="0.2"/>
  <cols>
    <col min="1" max="1" width="8.42578125" style="35" customWidth="1"/>
    <col min="2" max="2" width="26.7109375" style="35" customWidth="1"/>
    <col min="3" max="10" width="14.140625" style="35" customWidth="1"/>
    <col min="11" max="11" width="21.85546875" style="35" customWidth="1"/>
    <col min="12" max="12" width="26.7109375" style="35" customWidth="1"/>
    <col min="13" max="13" width="24.5703125" style="35" customWidth="1"/>
    <col min="14" max="14" width="25.28515625" style="35" customWidth="1"/>
    <col min="15" max="17" width="10.42578125" style="35" customWidth="1"/>
    <col min="18" max="18" width="8.42578125" style="35" customWidth="1"/>
    <col min="19" max="25" width="12.7109375" style="35" customWidth="1"/>
    <col min="26" max="26" width="40.5703125" style="35" customWidth="1"/>
    <col min="27" max="1025" width="8.42578125" style="18" customWidth="1"/>
  </cols>
  <sheetData>
    <row r="1" spans="1:26" s="35" customFormat="1" ht="15.75" customHeight="1" x14ac:dyDescent="0.25">
      <c r="Z1" s="41" t="s">
        <v>0</v>
      </c>
    </row>
    <row r="2" spans="1:26" s="35" customFormat="1" ht="15.75" customHeight="1" x14ac:dyDescent="0.25">
      <c r="Z2" s="41" t="s">
        <v>1</v>
      </c>
    </row>
    <row r="3" spans="1:26" s="35" customFormat="1" ht="15.75" customHeight="1" x14ac:dyDescent="0.25">
      <c r="Z3" s="41" t="s">
        <v>2</v>
      </c>
    </row>
    <row r="4" spans="1:26" s="35" customFormat="1" ht="15.75" customHeight="1" x14ac:dyDescent="0.25">
      <c r="A4" s="14" t="str">
        <f>'1. паспорт местоположение'!A5:C5</f>
        <v>Год раскрытия информации: 2023 год</v>
      </c>
      <c r="B4" s="14"/>
      <c r="C4" s="14"/>
      <c r="D4" s="14"/>
      <c r="E4" s="14"/>
      <c r="F4" s="14"/>
      <c r="G4" s="14"/>
      <c r="H4" s="14"/>
      <c r="I4" s="14"/>
      <c r="J4" s="14"/>
      <c r="K4" s="14"/>
      <c r="L4" s="14"/>
      <c r="M4" s="14"/>
      <c r="N4" s="14"/>
      <c r="O4" s="14"/>
      <c r="P4" s="14"/>
      <c r="Q4" s="14"/>
      <c r="R4" s="14"/>
      <c r="S4" s="14"/>
      <c r="T4" s="14"/>
      <c r="U4" s="14"/>
      <c r="V4" s="14"/>
      <c r="W4" s="14"/>
      <c r="X4" s="14"/>
      <c r="Y4" s="14"/>
      <c r="Z4" s="14"/>
    </row>
    <row r="5" spans="1:26" s="35" customFormat="1" ht="15.75" customHeight="1" x14ac:dyDescent="0.2"/>
    <row r="6" spans="1:26" s="35" customFormat="1" ht="18.75" customHeight="1" x14ac:dyDescent="0.3">
      <c r="A6" s="13" t="s">
        <v>4</v>
      </c>
      <c r="B6" s="13"/>
      <c r="C6" s="13"/>
      <c r="D6" s="13"/>
      <c r="E6" s="13"/>
      <c r="F6" s="13"/>
      <c r="G6" s="13"/>
      <c r="H6" s="13"/>
      <c r="I6" s="13"/>
      <c r="J6" s="13"/>
      <c r="K6" s="13"/>
      <c r="L6" s="13"/>
      <c r="M6" s="13"/>
      <c r="N6" s="13"/>
      <c r="O6" s="13"/>
      <c r="P6" s="13"/>
      <c r="Q6" s="13"/>
      <c r="R6" s="13"/>
      <c r="S6" s="13"/>
      <c r="T6" s="13"/>
      <c r="U6" s="13"/>
      <c r="V6" s="13"/>
      <c r="W6" s="13"/>
      <c r="X6" s="13"/>
      <c r="Y6" s="13"/>
      <c r="Z6" s="13"/>
    </row>
    <row r="7" spans="1:26" s="35" customFormat="1" ht="15.75" customHeight="1" x14ac:dyDescent="0.2"/>
    <row r="8" spans="1:26" s="35" customFormat="1" ht="15.75" customHeight="1"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row>
    <row r="9" spans="1:26" s="35" customFormat="1" ht="15.75" customHeight="1" x14ac:dyDescent="0.25">
      <c r="A9" s="11" t="s">
        <v>6</v>
      </c>
      <c r="B9" s="11"/>
      <c r="C9" s="11"/>
      <c r="D9" s="11"/>
      <c r="E9" s="11"/>
      <c r="F9" s="11"/>
      <c r="G9" s="11"/>
      <c r="H9" s="11"/>
      <c r="I9" s="11"/>
      <c r="J9" s="11"/>
      <c r="K9" s="11"/>
      <c r="L9" s="11"/>
      <c r="M9" s="11"/>
      <c r="N9" s="11"/>
      <c r="O9" s="11"/>
      <c r="P9" s="11"/>
      <c r="Q9" s="11"/>
      <c r="R9" s="11"/>
      <c r="S9" s="11"/>
      <c r="T9" s="11"/>
      <c r="U9" s="11"/>
      <c r="V9" s="11"/>
      <c r="W9" s="11"/>
      <c r="X9" s="11"/>
      <c r="Y9" s="11"/>
      <c r="Z9" s="11"/>
    </row>
    <row r="10" spans="1:26" s="35" customFormat="1" ht="15.75" customHeight="1" x14ac:dyDescent="0.2"/>
    <row r="11" spans="1:26" s="35" customFormat="1" ht="15.75" customHeight="1" x14ac:dyDescent="0.25">
      <c r="A11" s="12" t="str">
        <f>'1. паспорт местоположение'!A12:C12</f>
        <v>L_0200001105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s="35" customFormat="1" ht="15.75" customHeight="1" x14ac:dyDescent="0.25">
      <c r="A12" s="11" t="s">
        <v>8</v>
      </c>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s="35" customFormat="1" ht="15.75" customHeight="1" x14ac:dyDescent="0.2"/>
    <row r="14" spans="1:26" s="35" customFormat="1" ht="15.75" customHeight="1" x14ac:dyDescent="0.25">
      <c r="A14" s="12" t="str">
        <f>'1. паспорт местоположение'!A15:C15</f>
        <v>Реконструкция ВЛ-0,4кВ от ТП-1105, ул. Мраморная,  (ДНТ «Березка») ул. Драгоценная  г. Ростов-на-Дону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s="35" customFormat="1" ht="15.75" customHeight="1" x14ac:dyDescent="0.25">
      <c r="A15" s="11" t="s">
        <v>10</v>
      </c>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s="35" customFormat="1" ht="15.75" customHeight="1" x14ac:dyDescent="0.2"/>
    <row r="17" spans="1:26" s="35" customFormat="1" ht="15.75" customHeight="1" x14ac:dyDescent="0.2"/>
    <row r="18" spans="1:26" s="35" customFormat="1" ht="15.75" customHeight="1" x14ac:dyDescent="0.2"/>
    <row r="19" spans="1:26" s="35" customFormat="1" ht="15.75" customHeight="1" x14ac:dyDescent="0.2"/>
    <row r="20" spans="1:26" s="35" customFormat="1" ht="15.75" customHeight="1" x14ac:dyDescent="0.2"/>
    <row r="21" spans="1:26" s="35" customFormat="1" ht="15.75" customHeight="1" x14ac:dyDescent="0.2"/>
    <row r="22" spans="1:26" ht="18.75" customHeight="1" x14ac:dyDescent="0.2">
      <c r="A22" s="1" t="s">
        <v>141</v>
      </c>
      <c r="B22" s="1"/>
      <c r="C22" s="1"/>
      <c r="D22" s="1"/>
      <c r="E22" s="1"/>
      <c r="F22" s="1"/>
      <c r="G22" s="1"/>
      <c r="H22" s="1"/>
      <c r="I22" s="1"/>
      <c r="J22" s="1"/>
      <c r="K22" s="1"/>
      <c r="L22" s="1"/>
      <c r="M22" s="1"/>
      <c r="N22" s="1"/>
      <c r="O22" s="1"/>
      <c r="P22" s="1"/>
      <c r="Q22" s="1"/>
      <c r="R22" s="1"/>
      <c r="S22" s="1"/>
      <c r="T22" s="1"/>
      <c r="U22" s="1"/>
      <c r="V22" s="1"/>
      <c r="W22" s="1"/>
      <c r="X22" s="1"/>
      <c r="Y22" s="1"/>
      <c r="Z22" s="1"/>
    </row>
    <row r="23" spans="1:26" ht="30" customHeight="1" x14ac:dyDescent="0.2">
      <c r="A23" s="2" t="s">
        <v>142</v>
      </c>
      <c r="B23" s="2"/>
      <c r="C23" s="2"/>
      <c r="D23" s="2"/>
      <c r="E23" s="2"/>
      <c r="F23" s="2"/>
      <c r="G23" s="2"/>
      <c r="H23" s="2"/>
      <c r="I23" s="2"/>
      <c r="J23" s="2"/>
      <c r="K23" s="2"/>
      <c r="L23" s="2"/>
      <c r="M23" s="2" t="s">
        <v>143</v>
      </c>
      <c r="N23" s="2"/>
      <c r="O23" s="2"/>
      <c r="P23" s="2"/>
      <c r="Q23" s="2"/>
      <c r="R23" s="2"/>
      <c r="S23" s="2"/>
      <c r="T23" s="2"/>
      <c r="U23" s="2"/>
      <c r="V23" s="2"/>
      <c r="W23" s="2"/>
      <c r="X23" s="2"/>
      <c r="Y23" s="2"/>
      <c r="Z23" s="2"/>
    </row>
    <row r="24" spans="1:26" ht="150" customHeight="1" x14ac:dyDescent="0.2">
      <c r="A24" s="39" t="s">
        <v>144</v>
      </c>
      <c r="B24" s="39" t="s">
        <v>145</v>
      </c>
      <c r="C24" s="39" t="s">
        <v>146</v>
      </c>
      <c r="D24" s="39" t="s">
        <v>147</v>
      </c>
      <c r="E24" s="39" t="s">
        <v>148</v>
      </c>
      <c r="F24" s="39" t="s">
        <v>149</v>
      </c>
      <c r="G24" s="39" t="s">
        <v>150</v>
      </c>
      <c r="H24" s="39" t="s">
        <v>151</v>
      </c>
      <c r="I24" s="39" t="s">
        <v>152</v>
      </c>
      <c r="J24" s="39" t="s">
        <v>153</v>
      </c>
      <c r="K24" s="39" t="s">
        <v>154</v>
      </c>
      <c r="L24" s="39" t="s">
        <v>155</v>
      </c>
      <c r="M24" s="39" t="s">
        <v>156</v>
      </c>
      <c r="N24" s="39" t="s">
        <v>157</v>
      </c>
      <c r="O24" s="39" t="s">
        <v>158</v>
      </c>
      <c r="P24" s="39" t="s">
        <v>159</v>
      </c>
      <c r="Q24" s="39" t="s">
        <v>160</v>
      </c>
      <c r="R24" s="39" t="s">
        <v>151</v>
      </c>
      <c r="S24" s="39" t="s">
        <v>161</v>
      </c>
      <c r="T24" s="39" t="s">
        <v>162</v>
      </c>
      <c r="U24" s="39" t="s">
        <v>163</v>
      </c>
      <c r="V24" s="39" t="s">
        <v>160</v>
      </c>
      <c r="W24" s="39" t="s">
        <v>164</v>
      </c>
      <c r="X24" s="39" t="s">
        <v>165</v>
      </c>
      <c r="Y24" s="39" t="s">
        <v>166</v>
      </c>
      <c r="Z24" s="39" t="s">
        <v>167</v>
      </c>
    </row>
    <row r="25" spans="1:26" s="30" customFormat="1" ht="15" customHeight="1" x14ac:dyDescent="0.2">
      <c r="A25" s="22">
        <v>1</v>
      </c>
      <c r="B25" s="22">
        <v>2</v>
      </c>
      <c r="C25" s="22">
        <v>3</v>
      </c>
      <c r="D25" s="22">
        <v>4</v>
      </c>
      <c r="E25" s="22">
        <v>5</v>
      </c>
      <c r="F25" s="22">
        <v>6</v>
      </c>
      <c r="G25" s="22">
        <v>7</v>
      </c>
      <c r="H25" s="22">
        <v>8</v>
      </c>
      <c r="I25" s="22">
        <v>9</v>
      </c>
      <c r="J25" s="22">
        <v>10</v>
      </c>
      <c r="K25" s="22">
        <v>11</v>
      </c>
      <c r="L25" s="22">
        <v>12</v>
      </c>
      <c r="M25" s="22">
        <v>13</v>
      </c>
      <c r="N25" s="22">
        <v>14</v>
      </c>
      <c r="O25" s="22">
        <v>15</v>
      </c>
      <c r="P25" s="22">
        <v>16</v>
      </c>
      <c r="Q25" s="22">
        <v>17</v>
      </c>
      <c r="R25" s="22">
        <v>18</v>
      </c>
      <c r="S25" s="22">
        <v>19</v>
      </c>
      <c r="T25" s="22">
        <v>20</v>
      </c>
      <c r="U25" s="22">
        <v>21</v>
      </c>
      <c r="V25" s="22">
        <v>22</v>
      </c>
      <c r="W25" s="22">
        <v>23</v>
      </c>
      <c r="X25" s="22">
        <v>24</v>
      </c>
      <c r="Y25" s="22">
        <v>25</v>
      </c>
      <c r="Z25" s="22">
        <v>26</v>
      </c>
    </row>
    <row r="26" spans="1:26" ht="15.75" customHeight="1" x14ac:dyDescent="0.2">
      <c r="A26" s="42">
        <v>2023</v>
      </c>
      <c r="B26" s="43" t="s">
        <v>35</v>
      </c>
      <c r="C26" s="43" t="s">
        <v>35</v>
      </c>
      <c r="D26" s="43" t="s">
        <v>35</v>
      </c>
      <c r="E26" s="43" t="s">
        <v>35</v>
      </c>
      <c r="F26" s="43" t="s">
        <v>35</v>
      </c>
      <c r="G26" s="43" t="s">
        <v>35</v>
      </c>
      <c r="H26" s="43" t="s">
        <v>35</v>
      </c>
      <c r="I26" s="43" t="s">
        <v>35</v>
      </c>
      <c r="J26" s="43" t="s">
        <v>35</v>
      </c>
      <c r="K26" s="43" t="s">
        <v>35</v>
      </c>
      <c r="L26" s="43" t="s">
        <v>35</v>
      </c>
      <c r="M26" s="43" t="s">
        <v>35</v>
      </c>
      <c r="N26" s="43" t="s">
        <v>35</v>
      </c>
      <c r="O26" s="43" t="s">
        <v>35</v>
      </c>
      <c r="P26" s="43" t="s">
        <v>35</v>
      </c>
      <c r="Q26" s="43" t="s">
        <v>35</v>
      </c>
      <c r="R26" s="43" t="s">
        <v>35</v>
      </c>
      <c r="S26" s="43" t="s">
        <v>35</v>
      </c>
      <c r="T26" s="43" t="s">
        <v>35</v>
      </c>
      <c r="U26" s="43" t="s">
        <v>35</v>
      </c>
      <c r="V26" s="43" t="s">
        <v>35</v>
      </c>
      <c r="W26" s="43" t="s">
        <v>35</v>
      </c>
      <c r="X26" s="43" t="s">
        <v>35</v>
      </c>
      <c r="Y26" s="43" t="s">
        <v>35</v>
      </c>
      <c r="Z26" s="43" t="s">
        <v>35</v>
      </c>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80" zoomScaleNormal="80" workbookViewId="0">
      <selection activeCell="C23" sqref="C23"/>
    </sheetView>
  </sheetViews>
  <sheetFormatPr defaultColWidth="9" defaultRowHeight="15" x14ac:dyDescent="0.2"/>
  <cols>
    <col min="1" max="1" width="8" style="16" customWidth="1"/>
    <col min="2" max="2" width="21.7109375" style="16" customWidth="1"/>
    <col min="3" max="3" width="69.28515625" style="16" customWidth="1"/>
    <col min="4" max="4" width="14.140625" style="16" customWidth="1"/>
    <col min="5" max="9" width="11.5703125" style="16" customWidth="1"/>
    <col min="10" max="12" width="17.140625" style="16" customWidth="1"/>
    <col min="13" max="17" width="8.42578125" style="16" customWidth="1"/>
    <col min="18" max="1025" width="8.42578125" style="18" customWidth="1"/>
  </cols>
  <sheetData>
    <row r="1" spans="1:12" s="19" customFormat="1" ht="15.75" customHeight="1" x14ac:dyDescent="0.25">
      <c r="H1" s="8" t="s">
        <v>0</v>
      </c>
      <c r="I1" s="8"/>
      <c r="J1" s="8"/>
      <c r="K1" s="8"/>
      <c r="L1" s="8"/>
    </row>
    <row r="2" spans="1:12" s="19" customFormat="1" ht="15.75" customHeight="1" x14ac:dyDescent="0.25">
      <c r="H2" s="8" t="s">
        <v>1</v>
      </c>
      <c r="I2" s="8"/>
      <c r="J2" s="8"/>
      <c r="K2" s="8"/>
      <c r="L2" s="8"/>
    </row>
    <row r="3" spans="1:12" s="19" customFormat="1" ht="15.75" customHeight="1" x14ac:dyDescent="0.25">
      <c r="H3" s="8" t="s">
        <v>2</v>
      </c>
      <c r="I3" s="8"/>
      <c r="J3" s="8"/>
      <c r="K3" s="8"/>
      <c r="L3" s="8"/>
    </row>
    <row r="4" spans="1:12" s="19" customFormat="1" ht="15.75" customHeight="1" x14ac:dyDescent="0.25"/>
    <row r="5" spans="1:12" s="19" customFormat="1" ht="15.75" customHeight="1" x14ac:dyDescent="0.25">
      <c r="A5" s="14" t="str">
        <f>'1. паспорт местоположение'!A5:C5</f>
        <v>Год раскрытия информации: 2023 год</v>
      </c>
      <c r="B5" s="14"/>
      <c r="C5" s="14"/>
      <c r="D5" s="14"/>
      <c r="E5" s="14"/>
      <c r="F5" s="14"/>
      <c r="G5" s="14"/>
      <c r="H5" s="14"/>
      <c r="I5" s="14"/>
      <c r="J5" s="14"/>
      <c r="K5" s="14"/>
      <c r="L5" s="14"/>
    </row>
    <row r="6" spans="1:12" s="19" customFormat="1" ht="15.75" customHeight="1" x14ac:dyDescent="0.25"/>
    <row r="7" spans="1:12" s="19" customFormat="1" ht="18.75" customHeight="1" x14ac:dyDescent="0.3">
      <c r="A7" s="13" t="s">
        <v>4</v>
      </c>
      <c r="B7" s="13"/>
      <c r="C7" s="13"/>
      <c r="D7" s="13"/>
      <c r="E7" s="13"/>
      <c r="F7" s="13"/>
      <c r="G7" s="13"/>
      <c r="H7" s="13"/>
      <c r="I7" s="13"/>
      <c r="J7" s="13"/>
      <c r="K7" s="13"/>
      <c r="L7" s="13"/>
    </row>
    <row r="8" spans="1:12" s="19" customFormat="1" ht="15.75" customHeight="1" x14ac:dyDescent="0.25"/>
    <row r="9" spans="1:12" s="19" customFormat="1" ht="15.75" customHeight="1" x14ac:dyDescent="0.25">
      <c r="A9" s="12" t="s">
        <v>5</v>
      </c>
      <c r="B9" s="12"/>
      <c r="C9" s="12"/>
      <c r="D9" s="12"/>
      <c r="E9" s="12"/>
      <c r="F9" s="12"/>
      <c r="G9" s="12"/>
      <c r="H9" s="12"/>
      <c r="I9" s="12"/>
      <c r="J9" s="12"/>
      <c r="K9" s="12"/>
      <c r="L9" s="12"/>
    </row>
    <row r="10" spans="1:12" s="19" customFormat="1" ht="15.75" customHeight="1" x14ac:dyDescent="0.25">
      <c r="A10" s="11" t="s">
        <v>6</v>
      </c>
      <c r="B10" s="11"/>
      <c r="C10" s="11"/>
      <c r="D10" s="11"/>
      <c r="E10" s="11"/>
      <c r="F10" s="11"/>
      <c r="G10" s="11"/>
      <c r="H10" s="11"/>
      <c r="I10" s="11"/>
      <c r="J10" s="11"/>
      <c r="K10" s="11"/>
      <c r="L10" s="11"/>
    </row>
    <row r="11" spans="1:12" s="19" customFormat="1" ht="15.75" customHeight="1" x14ac:dyDescent="0.25"/>
    <row r="12" spans="1:12" s="19" customFormat="1" ht="15.75" customHeight="1" x14ac:dyDescent="0.25">
      <c r="A12" s="12" t="str">
        <f>'1. паспорт местоположение'!A12:C12</f>
        <v>L_0200001105</v>
      </c>
      <c r="B12" s="12"/>
      <c r="C12" s="12"/>
      <c r="D12" s="12"/>
      <c r="E12" s="12"/>
      <c r="F12" s="12"/>
      <c r="G12" s="12"/>
      <c r="H12" s="12"/>
      <c r="I12" s="12"/>
      <c r="J12" s="12"/>
      <c r="K12" s="12"/>
      <c r="L12" s="12"/>
    </row>
    <row r="13" spans="1:12" s="19" customFormat="1" ht="15.75" customHeight="1" x14ac:dyDescent="0.25">
      <c r="A13" s="11" t="s">
        <v>8</v>
      </c>
      <c r="B13" s="11"/>
      <c r="C13" s="11"/>
      <c r="D13" s="11"/>
      <c r="E13" s="11"/>
      <c r="F13" s="11"/>
      <c r="G13" s="11"/>
      <c r="H13" s="11"/>
      <c r="I13" s="11"/>
      <c r="J13" s="11"/>
      <c r="K13" s="11"/>
      <c r="L13" s="11"/>
    </row>
    <row r="14" spans="1:12" s="19" customFormat="1" ht="15.75" customHeight="1" x14ac:dyDescent="0.25"/>
    <row r="15" spans="1:12" s="19" customFormat="1" ht="15.75" customHeight="1" x14ac:dyDescent="0.25">
      <c r="A15" s="12" t="str">
        <f>'1. паспорт местоположение'!A15:C15</f>
        <v>Реконструкция ВЛ-0,4кВ от ТП-1105, ул. Мраморная,  (ДНТ «Березка») ул. Драгоценная  г. Ростов-на-Дону</v>
      </c>
      <c r="B15" s="12"/>
      <c r="C15" s="12"/>
      <c r="D15" s="12"/>
      <c r="E15" s="12"/>
      <c r="F15" s="12"/>
      <c r="G15" s="12"/>
      <c r="H15" s="12"/>
      <c r="I15" s="12"/>
      <c r="J15" s="12"/>
      <c r="K15" s="12"/>
      <c r="L15" s="12"/>
    </row>
    <row r="16" spans="1:12" s="19" customFormat="1" ht="15.75" customHeight="1" x14ac:dyDescent="0.25">
      <c r="A16" s="11" t="s">
        <v>10</v>
      </c>
      <c r="B16" s="11"/>
      <c r="C16" s="11"/>
      <c r="D16" s="11"/>
      <c r="E16" s="11"/>
      <c r="F16" s="11"/>
      <c r="G16" s="11"/>
      <c r="H16" s="11"/>
      <c r="I16" s="11"/>
      <c r="J16" s="11"/>
      <c r="K16" s="11"/>
      <c r="L16" s="11"/>
    </row>
    <row r="17" spans="1:17" s="19" customFormat="1" ht="15.75" customHeight="1" x14ac:dyDescent="0.25"/>
    <row r="18" spans="1:17" ht="53.25" customHeight="1" x14ac:dyDescent="0.2">
      <c r="A18" s="206" t="s">
        <v>168</v>
      </c>
      <c r="B18" s="206"/>
      <c r="C18" s="206"/>
      <c r="D18" s="206"/>
      <c r="E18" s="206"/>
      <c r="F18" s="206"/>
      <c r="G18" s="206"/>
      <c r="H18" s="206"/>
      <c r="I18" s="206"/>
      <c r="J18" s="206"/>
      <c r="K18" s="206"/>
      <c r="L18" s="206"/>
    </row>
    <row r="19" spans="1:17" ht="52.5" customHeight="1" x14ac:dyDescent="0.2">
      <c r="A19" s="5" t="s">
        <v>12</v>
      </c>
      <c r="B19" s="5" t="s">
        <v>169</v>
      </c>
      <c r="C19" s="5" t="s">
        <v>170</v>
      </c>
      <c r="D19" s="5" t="s">
        <v>171</v>
      </c>
      <c r="E19" s="5" t="s">
        <v>172</v>
      </c>
      <c r="F19" s="5"/>
      <c r="G19" s="5"/>
      <c r="H19" s="5"/>
      <c r="I19" s="5"/>
      <c r="J19" s="5" t="s">
        <v>173</v>
      </c>
      <c r="K19" s="5"/>
      <c r="L19" s="5"/>
    </row>
    <row r="20" spans="1:17" ht="78.75" customHeight="1" x14ac:dyDescent="0.2">
      <c r="A20" s="5"/>
      <c r="B20" s="5"/>
      <c r="C20" s="5"/>
      <c r="D20" s="5"/>
      <c r="E20" s="28" t="s">
        <v>174</v>
      </c>
      <c r="F20" s="28" t="s">
        <v>175</v>
      </c>
      <c r="G20" s="28" t="s">
        <v>176</v>
      </c>
      <c r="H20" s="28" t="s">
        <v>177</v>
      </c>
      <c r="I20" s="28" t="s">
        <v>178</v>
      </c>
      <c r="J20" s="44">
        <v>2022</v>
      </c>
      <c r="K20" s="44">
        <v>2023</v>
      </c>
      <c r="L20" s="44">
        <v>2024</v>
      </c>
    </row>
    <row r="21" spans="1:17" s="30" customFormat="1" ht="15.75" customHeight="1" x14ac:dyDescent="0.2">
      <c r="A21" s="22">
        <v>1</v>
      </c>
      <c r="B21" s="45">
        <v>2</v>
      </c>
      <c r="C21" s="22">
        <v>3</v>
      </c>
      <c r="D21" s="45">
        <v>4</v>
      </c>
      <c r="E21" s="22">
        <v>5</v>
      </c>
      <c r="F21" s="45">
        <v>6</v>
      </c>
      <c r="G21" s="22">
        <v>7</v>
      </c>
      <c r="H21" s="45">
        <v>8</v>
      </c>
      <c r="I21" s="22">
        <v>9</v>
      </c>
      <c r="J21" s="45">
        <v>10</v>
      </c>
      <c r="K21" s="22">
        <v>11</v>
      </c>
      <c r="L21" s="22">
        <v>12</v>
      </c>
      <c r="M21" s="35"/>
      <c r="N21" s="35"/>
      <c r="O21" s="35"/>
      <c r="P21" s="35"/>
      <c r="Q21" s="35"/>
    </row>
    <row r="22" spans="1:17" ht="70.5" customHeight="1" x14ac:dyDescent="0.2">
      <c r="A22" s="24">
        <v>1</v>
      </c>
      <c r="B22" s="24">
        <v>2023</v>
      </c>
      <c r="C22" s="21" t="s">
        <v>179</v>
      </c>
      <c r="D22" s="21" t="s">
        <v>35</v>
      </c>
      <c r="E22" s="21" t="s">
        <v>35</v>
      </c>
      <c r="F22" s="21" t="s">
        <v>35</v>
      </c>
      <c r="G22" s="21" t="s">
        <v>35</v>
      </c>
      <c r="H22" s="21" t="s">
        <v>35</v>
      </c>
      <c r="I22" s="21" t="s">
        <v>35</v>
      </c>
      <c r="J22" s="21" t="s">
        <v>35</v>
      </c>
      <c r="K22" s="21" t="s">
        <v>35</v>
      </c>
      <c r="L22" s="21" t="s">
        <v>35</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2" zoomScale="70" zoomScaleNormal="70" workbookViewId="0">
      <selection activeCell="B20" sqref="B20"/>
    </sheetView>
  </sheetViews>
  <sheetFormatPr defaultColWidth="9" defaultRowHeight="15" x14ac:dyDescent="0.2"/>
  <cols>
    <col min="1" max="1" width="43.42578125" style="16" customWidth="1"/>
    <col min="2" max="2" width="19.85546875" style="16" customWidth="1"/>
    <col min="3" max="3" width="12.5703125" style="16" customWidth="1"/>
    <col min="4" max="4" width="33" style="16" customWidth="1"/>
    <col min="5" max="6" width="11.85546875" style="16" customWidth="1"/>
    <col min="7" max="7" width="11.5703125" style="16" customWidth="1"/>
    <col min="8" max="8" width="14" style="16" customWidth="1"/>
    <col min="9" max="9" width="12" style="16" customWidth="1"/>
    <col min="10" max="10" width="11.42578125" style="16" customWidth="1"/>
    <col min="11" max="11" width="12.140625" style="16" customWidth="1"/>
    <col min="12" max="12" width="11.5703125" style="16" customWidth="1"/>
    <col min="13" max="13" width="12.140625" style="16" customWidth="1"/>
    <col min="14" max="14" width="11.42578125" style="16" customWidth="1"/>
    <col min="15" max="15" width="11.140625" style="16" customWidth="1"/>
    <col min="16" max="16" width="11" style="16" customWidth="1"/>
    <col min="17" max="17" width="11.28515625" style="16" customWidth="1"/>
    <col min="18" max="19" width="11.140625" style="16" customWidth="1"/>
    <col min="20" max="20" width="12.7109375" style="16" customWidth="1"/>
    <col min="21" max="21" width="11.5703125" style="16" customWidth="1"/>
    <col min="22" max="22" width="11" style="16" customWidth="1"/>
    <col min="23" max="40" width="8.42578125" style="16" customWidth="1"/>
    <col min="41" max="1025" width="8.42578125" style="18" customWidth="1"/>
  </cols>
  <sheetData>
    <row r="1" spans="1:22" s="47" customFormat="1" ht="16.5" customHeight="1" x14ac:dyDescent="0.25">
      <c r="A1" s="46"/>
      <c r="B1" s="207" t="s">
        <v>0</v>
      </c>
      <c r="C1" s="207"/>
      <c r="D1" s="207"/>
      <c r="E1" s="46"/>
      <c r="F1" s="46"/>
      <c r="G1" s="46"/>
      <c r="H1" s="46"/>
      <c r="I1" s="46"/>
      <c r="J1" s="46"/>
      <c r="K1" s="46"/>
      <c r="L1" s="46"/>
      <c r="M1" s="46"/>
      <c r="N1" s="46"/>
      <c r="O1" s="46"/>
      <c r="P1" s="46"/>
      <c r="Q1" s="46"/>
      <c r="R1" s="46"/>
      <c r="S1" s="46"/>
      <c r="T1" s="46"/>
      <c r="U1" s="46"/>
      <c r="V1" s="46"/>
    </row>
    <row r="2" spans="1:22" s="47" customFormat="1" ht="16.5" customHeight="1" x14ac:dyDescent="0.25">
      <c r="A2" s="46"/>
      <c r="B2" s="207" t="s">
        <v>1</v>
      </c>
      <c r="C2" s="207"/>
      <c r="D2" s="207"/>
      <c r="E2" s="46"/>
      <c r="F2" s="46"/>
      <c r="G2" s="46"/>
      <c r="H2" s="46"/>
      <c r="I2" s="46"/>
      <c r="J2" s="46"/>
      <c r="K2" s="46"/>
      <c r="L2" s="46"/>
      <c r="M2" s="46"/>
      <c r="N2" s="46"/>
      <c r="O2" s="46"/>
      <c r="P2" s="46"/>
      <c r="Q2" s="46"/>
      <c r="R2" s="46"/>
      <c r="S2" s="46"/>
      <c r="T2" s="46"/>
      <c r="U2" s="46"/>
      <c r="V2" s="46"/>
    </row>
    <row r="3" spans="1:22" s="47" customFormat="1" ht="16.5" customHeight="1" x14ac:dyDescent="0.25">
      <c r="A3" s="46"/>
      <c r="B3" s="207" t="s">
        <v>2</v>
      </c>
      <c r="C3" s="207"/>
      <c r="D3" s="207"/>
      <c r="E3" s="46"/>
      <c r="F3" s="46"/>
      <c r="G3" s="46"/>
      <c r="H3" s="46"/>
      <c r="I3" s="46"/>
      <c r="J3" s="46"/>
      <c r="K3" s="46"/>
      <c r="L3" s="46"/>
      <c r="M3" s="46"/>
      <c r="N3" s="46"/>
      <c r="O3" s="46"/>
      <c r="P3" s="46"/>
      <c r="Q3" s="46"/>
      <c r="R3" s="46"/>
      <c r="S3" s="46"/>
      <c r="T3" s="46"/>
      <c r="U3" s="46"/>
      <c r="V3" s="46"/>
    </row>
    <row r="4" spans="1:22" s="19" customFormat="1" ht="15.75" customHeight="1" x14ac:dyDescent="0.25">
      <c r="A4" s="46"/>
      <c r="B4" s="46"/>
      <c r="C4" s="46"/>
      <c r="D4" s="48"/>
      <c r="E4" s="46"/>
      <c r="F4" s="46"/>
      <c r="G4" s="46"/>
      <c r="H4" s="46"/>
      <c r="I4" s="46"/>
      <c r="J4" s="46"/>
      <c r="K4" s="46"/>
      <c r="L4" s="46"/>
      <c r="M4" s="46"/>
      <c r="N4" s="46"/>
      <c r="O4" s="46"/>
      <c r="P4" s="46"/>
      <c r="Q4" s="46"/>
      <c r="R4" s="46"/>
      <c r="S4" s="46"/>
      <c r="T4" s="46"/>
      <c r="U4" s="46"/>
      <c r="V4" s="46"/>
    </row>
    <row r="5" spans="1:22" s="19" customFormat="1" ht="16.5" customHeight="1" x14ac:dyDescent="0.25">
      <c r="A5" s="208" t="str">
        <f>'1. паспорт местоположение'!A5:C5</f>
        <v>Год раскрытия информации: 2023 год</v>
      </c>
      <c r="B5" s="208"/>
      <c r="C5" s="208"/>
      <c r="D5" s="208"/>
      <c r="E5" s="46"/>
      <c r="F5" s="46"/>
      <c r="G5" s="46"/>
      <c r="H5" s="46"/>
      <c r="I5" s="46"/>
      <c r="J5" s="46"/>
      <c r="K5" s="46"/>
      <c r="L5" s="46"/>
      <c r="M5" s="46"/>
      <c r="N5" s="46"/>
      <c r="O5" s="46"/>
      <c r="P5" s="46"/>
      <c r="Q5" s="46"/>
      <c r="R5" s="46"/>
      <c r="S5" s="46"/>
      <c r="T5" s="46"/>
      <c r="U5" s="46"/>
      <c r="V5" s="46"/>
    </row>
    <row r="6" spans="1:22" ht="18.75" customHeight="1" x14ac:dyDescent="0.25">
      <c r="A6" s="46"/>
      <c r="B6" s="46"/>
      <c r="C6" s="46"/>
      <c r="D6" s="48"/>
      <c r="E6" s="46"/>
      <c r="F6" s="46"/>
      <c r="G6" s="46"/>
      <c r="H6" s="46"/>
      <c r="I6" s="46"/>
      <c r="J6" s="46"/>
      <c r="K6" s="46"/>
      <c r="L6" s="46"/>
      <c r="M6" s="46"/>
      <c r="N6" s="46"/>
      <c r="O6" s="46"/>
      <c r="P6" s="46"/>
      <c r="Q6" s="46"/>
      <c r="R6" s="46"/>
      <c r="S6" s="46"/>
      <c r="T6" s="46"/>
      <c r="U6" s="46"/>
      <c r="V6" s="46"/>
    </row>
    <row r="7" spans="1:22" ht="18.75" customHeight="1" x14ac:dyDescent="0.3">
      <c r="A7" s="209" t="s">
        <v>4</v>
      </c>
      <c r="B7" s="209"/>
      <c r="C7" s="209"/>
      <c r="D7" s="209"/>
      <c r="E7" s="46"/>
      <c r="F7" s="46"/>
      <c r="G7" s="46"/>
      <c r="H7" s="46"/>
      <c r="I7" s="46"/>
      <c r="J7" s="46"/>
      <c r="K7" s="46"/>
      <c r="L7" s="46"/>
      <c r="M7" s="46"/>
      <c r="N7" s="46"/>
      <c r="O7" s="46"/>
      <c r="P7" s="46"/>
      <c r="Q7" s="46"/>
      <c r="R7" s="46"/>
      <c r="S7" s="46"/>
      <c r="T7" s="46"/>
      <c r="U7" s="46"/>
      <c r="V7" s="46"/>
    </row>
    <row r="8" spans="1:22" ht="15.75" customHeight="1" x14ac:dyDescent="0.25">
      <c r="A8" s="46"/>
      <c r="B8" s="46"/>
      <c r="C8" s="46"/>
      <c r="D8" s="48"/>
      <c r="E8" s="46"/>
      <c r="F8" s="46"/>
      <c r="G8" s="46"/>
      <c r="H8" s="46"/>
      <c r="I8" s="46"/>
      <c r="J8" s="46"/>
      <c r="K8" s="46"/>
      <c r="L8" s="46"/>
      <c r="M8" s="46"/>
      <c r="N8" s="46"/>
      <c r="O8" s="46"/>
      <c r="P8" s="46"/>
      <c r="Q8" s="46"/>
      <c r="R8" s="46"/>
      <c r="S8" s="46"/>
      <c r="T8" s="46"/>
      <c r="U8" s="46"/>
      <c r="V8" s="46"/>
    </row>
    <row r="9" spans="1:22" ht="15.75" customHeight="1" x14ac:dyDescent="0.25">
      <c r="A9" s="210" t="s">
        <v>180</v>
      </c>
      <c r="B9" s="210"/>
      <c r="C9" s="210"/>
      <c r="D9" s="210"/>
      <c r="E9" s="46"/>
      <c r="F9" s="46"/>
      <c r="G9" s="46"/>
      <c r="H9" s="46"/>
      <c r="I9" s="46"/>
      <c r="J9" s="46"/>
      <c r="K9" s="46"/>
      <c r="L9" s="46"/>
      <c r="M9" s="46"/>
      <c r="N9" s="46"/>
      <c r="O9" s="46"/>
      <c r="P9" s="46"/>
      <c r="Q9" s="46"/>
      <c r="R9" s="46"/>
      <c r="S9" s="46"/>
      <c r="T9" s="46"/>
      <c r="U9" s="46"/>
      <c r="V9" s="46"/>
    </row>
    <row r="10" spans="1:22" ht="16.5" customHeight="1" x14ac:dyDescent="0.25">
      <c r="A10" s="211" t="s">
        <v>6</v>
      </c>
      <c r="B10" s="211"/>
      <c r="C10" s="211"/>
      <c r="D10" s="211"/>
      <c r="E10" s="46"/>
      <c r="F10" s="46"/>
      <c r="G10" s="46"/>
      <c r="H10" s="46"/>
      <c r="I10" s="46"/>
      <c r="J10" s="46"/>
      <c r="K10" s="46"/>
      <c r="L10" s="46"/>
      <c r="M10" s="46"/>
      <c r="N10" s="46"/>
      <c r="O10" s="46"/>
      <c r="P10" s="46"/>
      <c r="Q10" s="46"/>
      <c r="R10" s="46"/>
      <c r="S10" s="46"/>
      <c r="T10" s="46"/>
      <c r="U10" s="46"/>
      <c r="V10" s="46"/>
    </row>
    <row r="11" spans="1:22" ht="15.75" customHeight="1" x14ac:dyDescent="0.25">
      <c r="A11" s="46"/>
      <c r="B11" s="46"/>
      <c r="C11" s="46"/>
      <c r="D11" s="48"/>
      <c r="E11" s="46"/>
      <c r="F11" s="46"/>
      <c r="G11" s="46"/>
      <c r="H11" s="46"/>
      <c r="I11" s="46"/>
      <c r="J11" s="46"/>
      <c r="K11" s="46"/>
      <c r="L11" s="46"/>
      <c r="M11" s="46"/>
      <c r="N11" s="46"/>
      <c r="O11" s="46"/>
      <c r="P11" s="46"/>
      <c r="Q11" s="46"/>
      <c r="R11" s="46"/>
      <c r="S11" s="46"/>
      <c r="T11" s="46"/>
      <c r="U11" s="46"/>
      <c r="V11" s="46"/>
    </row>
    <row r="12" spans="1:22" ht="15.75" customHeight="1" x14ac:dyDescent="0.25">
      <c r="A12" s="210" t="str">
        <f>'1. паспорт местоположение'!A12:C12</f>
        <v>L_0200001105</v>
      </c>
      <c r="B12" s="210"/>
      <c r="C12" s="210"/>
      <c r="D12" s="210"/>
      <c r="E12" s="46"/>
      <c r="F12" s="46"/>
      <c r="G12" s="46"/>
      <c r="H12" s="46"/>
      <c r="I12" s="46"/>
      <c r="J12" s="46"/>
      <c r="K12" s="46"/>
      <c r="L12" s="46"/>
      <c r="M12" s="46"/>
      <c r="N12" s="46"/>
      <c r="O12" s="46"/>
      <c r="P12" s="46"/>
      <c r="Q12" s="46"/>
      <c r="R12" s="46"/>
      <c r="S12" s="46"/>
      <c r="T12" s="46"/>
      <c r="U12" s="46"/>
      <c r="V12" s="46"/>
    </row>
    <row r="13" spans="1:22" ht="16.5" customHeight="1" x14ac:dyDescent="0.25">
      <c r="A13" s="211" t="s">
        <v>8</v>
      </c>
      <c r="B13" s="211"/>
      <c r="C13" s="211"/>
      <c r="D13" s="211"/>
      <c r="E13" s="46"/>
      <c r="F13" s="46"/>
      <c r="G13" s="46"/>
      <c r="H13" s="46"/>
      <c r="I13" s="46"/>
      <c r="J13" s="46"/>
      <c r="K13" s="46"/>
      <c r="L13" s="46"/>
      <c r="M13" s="46"/>
      <c r="N13" s="46"/>
      <c r="O13" s="46"/>
      <c r="P13" s="46"/>
      <c r="Q13" s="46"/>
      <c r="R13" s="46"/>
      <c r="S13" s="46"/>
      <c r="T13" s="46"/>
      <c r="U13" s="46"/>
      <c r="V13" s="46"/>
    </row>
    <row r="14" spans="1:22" ht="41.25" customHeight="1" x14ac:dyDescent="0.25">
      <c r="A14" s="46"/>
      <c r="B14" s="46"/>
      <c r="C14" s="46"/>
      <c r="D14" s="48"/>
      <c r="E14" s="46"/>
      <c r="F14" s="46"/>
      <c r="G14" s="46"/>
      <c r="H14" s="46"/>
      <c r="I14" s="46"/>
      <c r="J14" s="46"/>
      <c r="K14" s="46"/>
      <c r="L14" s="46"/>
      <c r="M14" s="46"/>
      <c r="N14" s="46"/>
      <c r="O14" s="46"/>
      <c r="P14" s="46"/>
      <c r="Q14" s="46"/>
      <c r="R14" s="46"/>
      <c r="S14" s="46"/>
      <c r="T14" s="46"/>
      <c r="U14" s="46"/>
      <c r="V14" s="46"/>
    </row>
    <row r="15" spans="1:22" ht="27.75" customHeight="1" x14ac:dyDescent="0.25">
      <c r="A15" s="210" t="str">
        <f>'1. паспорт местоположение'!A15:C15</f>
        <v>Реконструкция ВЛ-0,4кВ от ТП-1105, ул. Мраморная,  (ДНТ «Березка») ул. Драгоценная  г. Ростов-на-Дону</v>
      </c>
      <c r="B15" s="210"/>
      <c r="C15" s="210"/>
      <c r="D15" s="210"/>
      <c r="E15" s="210"/>
      <c r="F15" s="46"/>
      <c r="G15" s="46"/>
      <c r="H15" s="46"/>
      <c r="I15" s="46"/>
      <c r="J15" s="46"/>
      <c r="K15" s="46"/>
      <c r="L15" s="46"/>
      <c r="M15" s="46"/>
      <c r="N15" s="46"/>
      <c r="O15" s="46"/>
      <c r="P15" s="46"/>
      <c r="Q15" s="46"/>
      <c r="R15" s="46"/>
      <c r="S15" s="46"/>
      <c r="T15" s="46"/>
      <c r="U15" s="46"/>
      <c r="V15" s="46"/>
    </row>
    <row r="16" spans="1:22" s="47" customFormat="1" ht="15.75" customHeight="1" x14ac:dyDescent="0.25">
      <c r="A16" s="211" t="s">
        <v>10</v>
      </c>
      <c r="B16" s="211"/>
      <c r="C16" s="211"/>
      <c r="D16" s="211"/>
      <c r="E16" s="46"/>
      <c r="F16" s="46"/>
      <c r="G16" s="46"/>
      <c r="H16" s="46"/>
      <c r="I16" s="46"/>
      <c r="J16" s="46"/>
      <c r="K16" s="46"/>
      <c r="L16" s="46"/>
      <c r="M16" s="46"/>
      <c r="N16" s="46"/>
      <c r="O16" s="46"/>
      <c r="P16" s="46"/>
      <c r="Q16" s="46"/>
      <c r="R16" s="46"/>
      <c r="S16" s="46"/>
      <c r="T16" s="46"/>
      <c r="U16" s="46"/>
      <c r="V16" s="46"/>
    </row>
    <row r="17" spans="1:22" s="49" customFormat="1" ht="20.25" customHeight="1" x14ac:dyDescent="0.25">
      <c r="A17" s="48"/>
      <c r="B17" s="48"/>
      <c r="C17" s="48"/>
      <c r="D17" s="48"/>
      <c r="E17" s="46"/>
      <c r="F17" s="46"/>
      <c r="G17" s="46"/>
      <c r="H17" s="46"/>
      <c r="I17" s="46"/>
      <c r="J17" s="46"/>
      <c r="K17" s="46"/>
      <c r="L17" s="46"/>
      <c r="M17" s="46"/>
      <c r="N17" s="46"/>
      <c r="O17" s="46"/>
      <c r="P17" s="46"/>
      <c r="Q17" s="46"/>
      <c r="R17" s="46"/>
      <c r="S17" s="46"/>
      <c r="T17" s="46"/>
      <c r="U17" s="46"/>
      <c r="V17" s="46"/>
    </row>
    <row r="18" spans="1:22" ht="20.25" x14ac:dyDescent="0.25">
      <c r="A18" s="212" t="s">
        <v>181</v>
      </c>
      <c r="B18" s="212"/>
      <c r="C18" s="212"/>
      <c r="D18" s="212"/>
      <c r="E18" s="212"/>
      <c r="F18" s="212"/>
      <c r="G18" s="212"/>
      <c r="H18" s="50"/>
      <c r="I18" s="50"/>
      <c r="J18" s="50"/>
      <c r="K18" s="50"/>
      <c r="L18" s="50"/>
      <c r="M18" s="50"/>
      <c r="N18" s="50"/>
      <c r="O18" s="50"/>
      <c r="P18" s="50"/>
      <c r="Q18" s="50"/>
      <c r="R18" s="50"/>
      <c r="S18" s="50"/>
      <c r="T18" s="50"/>
      <c r="U18" s="50"/>
      <c r="V18" s="50"/>
    </row>
    <row r="19" spans="1:22" ht="15.75" x14ac:dyDescent="0.2">
      <c r="A19" s="51" t="s">
        <v>182</v>
      </c>
      <c r="B19" s="51" t="s">
        <v>183</v>
      </c>
      <c r="C19" s="52"/>
      <c r="D19" s="53"/>
      <c r="E19" s="54"/>
      <c r="F19" s="54"/>
      <c r="G19" s="54"/>
      <c r="H19" s="54"/>
      <c r="I19" s="52"/>
      <c r="J19" s="52"/>
      <c r="K19" s="52"/>
      <c r="L19" s="52"/>
      <c r="M19" s="52"/>
      <c r="N19" s="52"/>
      <c r="O19" s="52"/>
      <c r="P19" s="52"/>
      <c r="Q19" s="52"/>
      <c r="R19" s="52"/>
      <c r="S19" s="52"/>
      <c r="T19" s="52"/>
      <c r="U19" s="52"/>
      <c r="V19" s="52"/>
    </row>
    <row r="20" spans="1:22" ht="15.75" x14ac:dyDescent="0.2">
      <c r="A20" s="55" t="s">
        <v>184</v>
      </c>
      <c r="B20" s="56">
        <v>10426000</v>
      </c>
      <c r="C20" s="52"/>
      <c r="D20" s="52"/>
      <c r="E20" s="52"/>
      <c r="F20" s="52"/>
      <c r="G20" s="52"/>
      <c r="H20" s="52"/>
      <c r="I20" s="52"/>
      <c r="J20" s="52"/>
      <c r="K20" s="52"/>
      <c r="L20" s="52"/>
      <c r="M20" s="52"/>
      <c r="N20" s="52"/>
      <c r="O20" s="52"/>
      <c r="P20" s="52"/>
      <c r="Q20" s="52"/>
      <c r="R20" s="52"/>
      <c r="S20" s="52"/>
      <c r="T20" s="52"/>
      <c r="U20" s="52"/>
      <c r="V20" s="52"/>
    </row>
    <row r="21" spans="1:22" ht="15.75" x14ac:dyDescent="0.2">
      <c r="A21" s="57" t="s">
        <v>185</v>
      </c>
      <c r="B21" s="58">
        <v>0</v>
      </c>
      <c r="C21" s="52"/>
      <c r="D21" s="52"/>
      <c r="E21" s="52"/>
      <c r="F21" s="52"/>
      <c r="G21" s="52"/>
      <c r="H21" s="52"/>
      <c r="I21" s="52"/>
      <c r="J21" s="52"/>
      <c r="K21" s="52"/>
      <c r="L21" s="52"/>
      <c r="M21" s="52"/>
      <c r="N21" s="52"/>
      <c r="O21" s="52"/>
      <c r="P21" s="52"/>
      <c r="Q21" s="52"/>
      <c r="R21" s="52"/>
      <c r="S21" s="52"/>
      <c r="T21" s="52"/>
      <c r="U21" s="52"/>
      <c r="V21" s="52"/>
    </row>
    <row r="22" spans="1:22" ht="15.75" customHeight="1" x14ac:dyDescent="0.2">
      <c r="A22" s="57" t="s">
        <v>186</v>
      </c>
      <c r="B22" s="58">
        <v>25</v>
      </c>
      <c r="C22" s="52"/>
      <c r="D22" s="213" t="s">
        <v>187</v>
      </c>
      <c r="E22" s="213"/>
      <c r="F22" s="213"/>
      <c r="G22" s="52"/>
      <c r="H22" s="59"/>
      <c r="I22" s="52"/>
      <c r="J22" s="52"/>
      <c r="K22" s="52"/>
      <c r="L22" s="52"/>
      <c r="M22" s="52"/>
      <c r="N22" s="52"/>
      <c r="O22" s="52"/>
      <c r="P22" s="52"/>
      <c r="Q22" s="52"/>
      <c r="R22" s="52"/>
      <c r="S22" s="52"/>
      <c r="T22" s="52"/>
      <c r="U22" s="52"/>
      <c r="V22" s="52"/>
    </row>
    <row r="23" spans="1:22" ht="16.5" customHeight="1" x14ac:dyDescent="0.2">
      <c r="A23" s="60" t="s">
        <v>188</v>
      </c>
      <c r="B23" s="61">
        <v>1</v>
      </c>
      <c r="C23" s="52"/>
      <c r="D23" s="214" t="s">
        <v>189</v>
      </c>
      <c r="E23" s="214"/>
      <c r="F23" s="214"/>
      <c r="G23" s="62">
        <f>SUM(B87:V87)</f>
        <v>4.8512310746801912</v>
      </c>
      <c r="H23" s="59"/>
      <c r="I23" s="52"/>
      <c r="J23" s="52"/>
      <c r="K23" s="63"/>
      <c r="L23" s="63"/>
      <c r="M23" s="63"/>
      <c r="N23" s="63"/>
      <c r="O23" s="63"/>
      <c r="P23" s="63"/>
      <c r="Q23" s="63"/>
      <c r="R23" s="63"/>
      <c r="S23" s="63"/>
      <c r="T23" s="63"/>
      <c r="U23" s="63"/>
      <c r="V23" s="63"/>
    </row>
    <row r="24" spans="1:22" ht="15.75" customHeight="1" x14ac:dyDescent="0.2">
      <c r="A24" s="55" t="s">
        <v>190</v>
      </c>
      <c r="B24" s="64">
        <v>119844</v>
      </c>
      <c r="C24" s="52"/>
      <c r="D24" s="214" t="s">
        <v>191</v>
      </c>
      <c r="E24" s="214"/>
      <c r="F24" s="214"/>
      <c r="G24" s="62">
        <f>SUM(B88:V88)</f>
        <v>14.942698569352849</v>
      </c>
      <c r="H24" s="59"/>
      <c r="I24" s="52"/>
      <c r="J24" s="52"/>
      <c r="K24" s="63"/>
      <c r="L24" s="63"/>
      <c r="M24" s="63"/>
      <c r="N24" s="63"/>
      <c r="O24" s="63"/>
      <c r="P24" s="63"/>
      <c r="Q24" s="63"/>
      <c r="R24" s="63"/>
      <c r="S24" s="63"/>
      <c r="T24" s="63"/>
      <c r="U24" s="63"/>
      <c r="V24" s="63"/>
    </row>
    <row r="25" spans="1:22" ht="15.75" customHeight="1" x14ac:dyDescent="0.2">
      <c r="A25" s="57" t="s">
        <v>192</v>
      </c>
      <c r="B25" s="58">
        <v>6</v>
      </c>
      <c r="C25" s="52"/>
      <c r="D25" s="215" t="s">
        <v>193</v>
      </c>
      <c r="E25" s="215"/>
      <c r="F25" s="215"/>
      <c r="G25" s="216">
        <f>V85</f>
        <v>1472772.712539538</v>
      </c>
      <c r="H25" s="59"/>
      <c r="I25" s="52"/>
      <c r="J25" s="52"/>
      <c r="K25" s="63"/>
      <c r="L25" s="63"/>
      <c r="M25" s="63"/>
      <c r="N25" s="63"/>
      <c r="O25" s="63"/>
      <c r="P25" s="63"/>
      <c r="Q25" s="63"/>
      <c r="R25" s="63"/>
      <c r="S25" s="63"/>
      <c r="T25" s="63"/>
      <c r="U25" s="63"/>
      <c r="V25" s="63"/>
    </row>
    <row r="26" spans="1:22" ht="15.75" x14ac:dyDescent="0.2">
      <c r="A26" s="57" t="s">
        <v>194</v>
      </c>
      <c r="B26" s="58">
        <v>1</v>
      </c>
      <c r="C26" s="52"/>
      <c r="D26" s="215"/>
      <c r="E26" s="215"/>
      <c r="F26" s="215"/>
      <c r="G26" s="216"/>
      <c r="H26" s="52"/>
      <c r="I26" s="52"/>
      <c r="J26" s="52"/>
      <c r="K26" s="63"/>
      <c r="L26" s="63"/>
      <c r="M26" s="63"/>
      <c r="N26" s="63"/>
      <c r="O26" s="63"/>
      <c r="P26" s="63"/>
      <c r="Q26" s="63"/>
      <c r="R26" s="63"/>
      <c r="S26" s="63"/>
      <c r="T26" s="63"/>
      <c r="U26" s="63"/>
      <c r="V26" s="63"/>
    </row>
    <row r="27" spans="1:22" ht="26.25" customHeight="1" x14ac:dyDescent="0.2">
      <c r="A27" s="65" t="s">
        <v>195</v>
      </c>
      <c r="B27" s="58">
        <v>14247</v>
      </c>
      <c r="C27" s="52"/>
      <c r="D27" s="52"/>
      <c r="E27" s="52"/>
      <c r="F27" s="52"/>
      <c r="G27" s="52"/>
      <c r="H27" s="52"/>
      <c r="I27" s="52"/>
      <c r="J27" s="52"/>
      <c r="K27" s="52"/>
      <c r="L27" s="52"/>
      <c r="M27" s="52"/>
      <c r="N27" s="52"/>
      <c r="O27" s="52"/>
      <c r="P27" s="52"/>
      <c r="Q27" s="52"/>
      <c r="R27" s="52"/>
      <c r="S27" s="52"/>
      <c r="T27" s="52"/>
      <c r="U27" s="52"/>
      <c r="V27" s="52"/>
    </row>
    <row r="28" spans="1:22" ht="15.75" x14ac:dyDescent="0.2">
      <c r="A28" s="57" t="s">
        <v>196</v>
      </c>
      <c r="B28" s="58">
        <v>1</v>
      </c>
      <c r="C28" s="52"/>
      <c r="D28" s="52"/>
      <c r="E28" s="52"/>
      <c r="F28" s="52"/>
      <c r="G28" s="52"/>
      <c r="H28" s="52"/>
      <c r="I28" s="52"/>
      <c r="J28" s="52"/>
      <c r="K28" s="52"/>
      <c r="L28" s="52"/>
      <c r="M28" s="52"/>
      <c r="N28" s="52"/>
      <c r="O28" s="52"/>
      <c r="P28" s="52"/>
      <c r="Q28" s="52"/>
      <c r="R28" s="52"/>
      <c r="S28" s="52"/>
      <c r="T28" s="52"/>
      <c r="U28" s="52"/>
      <c r="V28" s="52"/>
    </row>
    <row r="29" spans="1:22" ht="15.75" x14ac:dyDescent="0.2">
      <c r="A29" s="57" t="s">
        <v>197</v>
      </c>
      <c r="B29" s="58">
        <v>1</v>
      </c>
      <c r="C29" s="52"/>
      <c r="D29" s="52"/>
      <c r="E29" s="52"/>
      <c r="F29" s="52"/>
      <c r="G29" s="52"/>
      <c r="H29" s="52"/>
      <c r="I29" s="52"/>
      <c r="J29" s="52"/>
      <c r="K29" s="52"/>
      <c r="L29" s="52"/>
      <c r="M29" s="52"/>
      <c r="N29" s="52"/>
      <c r="O29" s="52"/>
      <c r="P29" s="52"/>
      <c r="Q29" s="52"/>
      <c r="R29" s="52"/>
      <c r="S29" s="52"/>
      <c r="T29" s="52"/>
      <c r="U29" s="52"/>
      <c r="V29" s="52"/>
    </row>
    <row r="30" spans="1:22" ht="15.75" x14ac:dyDescent="0.2">
      <c r="A30" s="66" t="s">
        <v>198</v>
      </c>
      <c r="B30" s="67">
        <v>2.1999999999999999E-2</v>
      </c>
      <c r="C30" s="52"/>
      <c r="D30" s="52"/>
      <c r="E30" s="52"/>
      <c r="F30" s="52"/>
      <c r="G30" s="52"/>
      <c r="H30" s="52"/>
      <c r="I30" s="52"/>
      <c r="J30" s="52"/>
      <c r="K30" s="52"/>
      <c r="L30" s="52"/>
      <c r="M30" s="52"/>
      <c r="N30" s="52"/>
      <c r="O30" s="52"/>
      <c r="P30" s="52"/>
      <c r="Q30" s="52"/>
      <c r="R30" s="52"/>
      <c r="S30" s="52"/>
      <c r="T30" s="52"/>
      <c r="U30" s="52"/>
      <c r="V30" s="52"/>
    </row>
    <row r="31" spans="1:22" ht="15.75" x14ac:dyDescent="0.2">
      <c r="A31" s="60" t="s">
        <v>199</v>
      </c>
      <c r="B31" s="68">
        <v>0.2</v>
      </c>
      <c r="C31" s="52"/>
      <c r="D31" s="52"/>
      <c r="E31" s="52"/>
      <c r="F31" s="52"/>
      <c r="G31" s="52"/>
      <c r="H31" s="52"/>
      <c r="I31" s="52"/>
      <c r="J31" s="52"/>
      <c r="K31" s="52"/>
      <c r="L31" s="52"/>
      <c r="M31" s="52"/>
      <c r="N31" s="52"/>
      <c r="O31" s="52"/>
      <c r="P31" s="52"/>
      <c r="Q31" s="52"/>
      <c r="R31" s="52"/>
      <c r="S31" s="52"/>
      <c r="T31" s="52"/>
      <c r="U31" s="52"/>
      <c r="V31" s="52"/>
    </row>
    <row r="32" spans="1:22" ht="15.75" x14ac:dyDescent="0.2">
      <c r="A32" s="55" t="s">
        <v>200</v>
      </c>
      <c r="B32" s="64">
        <v>0</v>
      </c>
      <c r="C32" s="52"/>
      <c r="D32" s="52"/>
      <c r="E32" s="52"/>
      <c r="F32" s="52"/>
      <c r="G32" s="52"/>
      <c r="H32" s="52"/>
      <c r="I32" s="52"/>
      <c r="J32" s="52"/>
      <c r="K32" s="52"/>
      <c r="L32" s="52"/>
      <c r="M32" s="52"/>
      <c r="N32" s="52"/>
      <c r="O32" s="52"/>
      <c r="P32" s="52"/>
      <c r="Q32" s="52"/>
      <c r="R32" s="52"/>
      <c r="S32" s="52"/>
      <c r="T32" s="52"/>
      <c r="U32" s="52"/>
      <c r="V32" s="52"/>
    </row>
    <row r="33" spans="1:22" ht="15.75" x14ac:dyDescent="0.2">
      <c r="A33" s="57" t="s">
        <v>201</v>
      </c>
      <c r="B33" s="58">
        <v>0</v>
      </c>
      <c r="C33" s="52"/>
      <c r="D33" s="52"/>
      <c r="E33" s="52"/>
      <c r="F33" s="52"/>
      <c r="G33" s="52"/>
      <c r="H33" s="52"/>
      <c r="I33" s="52"/>
      <c r="J33" s="52"/>
      <c r="K33" s="52"/>
      <c r="L33" s="52"/>
      <c r="M33" s="52"/>
      <c r="N33" s="52"/>
      <c r="O33" s="52"/>
      <c r="P33" s="52"/>
      <c r="Q33" s="52"/>
      <c r="R33" s="52"/>
      <c r="S33" s="52"/>
      <c r="T33" s="52"/>
      <c r="U33" s="52"/>
      <c r="V33" s="52"/>
    </row>
    <row r="34" spans="1:22" ht="15.75" x14ac:dyDescent="0.2">
      <c r="A34" s="66" t="s">
        <v>202</v>
      </c>
      <c r="B34" s="69">
        <v>0.12</v>
      </c>
      <c r="C34" s="52"/>
      <c r="D34" s="52"/>
      <c r="E34" s="52"/>
      <c r="F34" s="52"/>
      <c r="G34" s="52"/>
      <c r="H34" s="52"/>
      <c r="I34" s="52"/>
      <c r="J34" s="52"/>
      <c r="K34" s="52"/>
      <c r="L34" s="52"/>
      <c r="M34" s="52"/>
      <c r="N34" s="52"/>
      <c r="O34" s="52"/>
      <c r="P34" s="52"/>
      <c r="Q34" s="52"/>
      <c r="R34" s="52"/>
      <c r="S34" s="52"/>
      <c r="T34" s="52"/>
      <c r="U34" s="52"/>
      <c r="V34" s="52"/>
    </row>
    <row r="35" spans="1:22" ht="15.75" x14ac:dyDescent="0.2">
      <c r="A35" s="70" t="s">
        <v>203</v>
      </c>
      <c r="B35" s="71">
        <v>0</v>
      </c>
      <c r="C35" s="52"/>
      <c r="D35" s="52"/>
      <c r="E35" s="52"/>
      <c r="F35" s="52"/>
      <c r="G35" s="52"/>
      <c r="H35" s="52"/>
      <c r="I35" s="52"/>
      <c r="J35" s="52"/>
      <c r="K35" s="52"/>
      <c r="L35" s="52"/>
      <c r="M35" s="52"/>
      <c r="N35" s="52"/>
      <c r="O35" s="52"/>
      <c r="P35" s="52"/>
      <c r="Q35" s="52"/>
      <c r="R35" s="52"/>
      <c r="S35" s="52"/>
      <c r="T35" s="52"/>
      <c r="U35" s="52"/>
      <c r="V35" s="52"/>
    </row>
    <row r="36" spans="1:22" ht="15.75" x14ac:dyDescent="0.2">
      <c r="A36" s="72" t="s">
        <v>204</v>
      </c>
      <c r="B36" s="73">
        <v>0.13250000000000001</v>
      </c>
      <c r="C36" s="52"/>
      <c r="D36" s="52"/>
      <c r="E36" s="52"/>
      <c r="F36" s="52"/>
      <c r="G36" s="52"/>
      <c r="H36" s="52"/>
      <c r="I36" s="52"/>
      <c r="J36" s="52"/>
      <c r="K36" s="52"/>
      <c r="L36" s="52"/>
      <c r="M36" s="52"/>
      <c r="N36" s="52"/>
      <c r="O36" s="52"/>
      <c r="P36" s="52"/>
      <c r="Q36" s="52"/>
      <c r="R36" s="52"/>
      <c r="S36" s="52"/>
      <c r="T36" s="52"/>
      <c r="U36" s="52"/>
      <c r="V36" s="52"/>
    </row>
    <row r="37" spans="1:22" ht="15.75" x14ac:dyDescent="0.2">
      <c r="A37" s="72" t="s">
        <v>205</v>
      </c>
      <c r="B37" s="73">
        <v>0.13250000000000001</v>
      </c>
      <c r="C37" s="52"/>
      <c r="D37" s="52"/>
      <c r="E37" s="52"/>
      <c r="F37" s="52"/>
      <c r="G37" s="52"/>
      <c r="H37" s="52"/>
      <c r="I37" s="52"/>
      <c r="J37" s="52"/>
      <c r="K37" s="52"/>
      <c r="L37" s="52"/>
      <c r="M37" s="52"/>
      <c r="N37" s="52"/>
      <c r="O37" s="52"/>
      <c r="P37" s="52"/>
      <c r="Q37" s="52"/>
      <c r="R37" s="52"/>
      <c r="S37" s="52"/>
      <c r="T37" s="52"/>
      <c r="U37" s="52"/>
      <c r="V37" s="52"/>
    </row>
    <row r="38" spans="1:22" ht="15.75" x14ac:dyDescent="0.2">
      <c r="A38" s="72" t="s">
        <v>206</v>
      </c>
      <c r="B38" s="74">
        <v>0</v>
      </c>
      <c r="C38" s="52"/>
      <c r="D38" s="52"/>
      <c r="E38" s="52"/>
      <c r="F38" s="52"/>
      <c r="G38" s="52"/>
      <c r="H38" s="52"/>
      <c r="I38" s="52"/>
      <c r="J38" s="52"/>
      <c r="K38" s="52"/>
      <c r="L38" s="52"/>
      <c r="M38" s="52"/>
      <c r="N38" s="52"/>
      <c r="O38" s="52"/>
      <c r="P38" s="52"/>
      <c r="Q38" s="52"/>
      <c r="R38" s="52"/>
      <c r="S38" s="52"/>
      <c r="T38" s="52"/>
      <c r="U38" s="52"/>
      <c r="V38" s="52"/>
    </row>
    <row r="39" spans="1:22" ht="15.75" x14ac:dyDescent="0.2">
      <c r="A39" s="72" t="s">
        <v>207</v>
      </c>
      <c r="B39" s="74">
        <v>0.15</v>
      </c>
      <c r="C39" s="52"/>
      <c r="D39" s="52"/>
      <c r="E39" s="52"/>
      <c r="F39" s="52"/>
      <c r="G39" s="52"/>
      <c r="H39" s="52"/>
      <c r="I39" s="52"/>
      <c r="J39" s="52"/>
      <c r="K39" s="52"/>
      <c r="L39" s="52"/>
      <c r="M39" s="52"/>
      <c r="N39" s="52"/>
      <c r="O39" s="52"/>
      <c r="P39" s="52"/>
      <c r="Q39" s="52"/>
      <c r="R39" s="52"/>
      <c r="S39" s="52"/>
      <c r="T39" s="52"/>
      <c r="U39" s="52"/>
      <c r="V39" s="52"/>
    </row>
    <row r="40" spans="1:22" ht="15.75" x14ac:dyDescent="0.2">
      <c r="A40" s="72" t="s">
        <v>208</v>
      </c>
      <c r="B40" s="74">
        <v>1</v>
      </c>
      <c r="C40" s="52"/>
      <c r="D40" s="52"/>
      <c r="E40" s="52"/>
      <c r="F40" s="52"/>
      <c r="G40" s="52"/>
      <c r="H40" s="52"/>
      <c r="I40" s="52"/>
      <c r="J40" s="52"/>
      <c r="K40" s="52"/>
      <c r="L40" s="52"/>
      <c r="M40" s="52"/>
      <c r="N40" s="52"/>
      <c r="O40" s="52"/>
      <c r="P40" s="52"/>
      <c r="Q40" s="52"/>
      <c r="R40" s="52"/>
      <c r="S40" s="52"/>
      <c r="T40" s="52"/>
      <c r="U40" s="52"/>
      <c r="V40" s="52"/>
    </row>
    <row r="41" spans="1:22" ht="15.75" x14ac:dyDescent="0.2">
      <c r="A41" s="75" t="s">
        <v>209</v>
      </c>
      <c r="B41" s="76">
        <v>0.15</v>
      </c>
      <c r="C41" s="77"/>
      <c r="D41" s="77"/>
      <c r="E41" s="77"/>
      <c r="F41" s="77"/>
      <c r="G41" s="77"/>
      <c r="H41" s="77"/>
      <c r="I41" s="77"/>
      <c r="J41" s="77"/>
      <c r="K41" s="77"/>
      <c r="L41" s="77"/>
      <c r="M41" s="77"/>
      <c r="N41" s="77"/>
      <c r="O41" s="77"/>
      <c r="P41" s="77"/>
      <c r="Q41" s="77"/>
      <c r="R41" s="77"/>
      <c r="S41" s="77"/>
      <c r="T41" s="77"/>
      <c r="U41" s="77"/>
      <c r="V41" s="77"/>
    </row>
    <row r="42" spans="1:22" ht="15.75" x14ac:dyDescent="0.2">
      <c r="A42" s="78" t="s">
        <v>210</v>
      </c>
      <c r="B42" s="79">
        <v>1</v>
      </c>
      <c r="C42" s="79">
        <f t="shared" ref="C42:V42" si="0">B42+1</f>
        <v>2</v>
      </c>
      <c r="D42" s="79">
        <f t="shared" si="0"/>
        <v>3</v>
      </c>
      <c r="E42" s="79">
        <f t="shared" si="0"/>
        <v>4</v>
      </c>
      <c r="F42" s="79">
        <f t="shared" si="0"/>
        <v>5</v>
      </c>
      <c r="G42" s="79">
        <f t="shared" si="0"/>
        <v>6</v>
      </c>
      <c r="H42" s="79">
        <f t="shared" si="0"/>
        <v>7</v>
      </c>
      <c r="I42" s="79">
        <f t="shared" si="0"/>
        <v>8</v>
      </c>
      <c r="J42" s="79">
        <f t="shared" si="0"/>
        <v>9</v>
      </c>
      <c r="K42" s="80">
        <f t="shared" si="0"/>
        <v>10</v>
      </c>
      <c r="L42" s="81">
        <f t="shared" si="0"/>
        <v>11</v>
      </c>
      <c r="M42" s="81">
        <f t="shared" si="0"/>
        <v>12</v>
      </c>
      <c r="N42" s="82">
        <f t="shared" si="0"/>
        <v>13</v>
      </c>
      <c r="O42" s="81">
        <f t="shared" si="0"/>
        <v>14</v>
      </c>
      <c r="P42" s="81">
        <f t="shared" si="0"/>
        <v>15</v>
      </c>
      <c r="Q42" s="81">
        <f t="shared" si="0"/>
        <v>16</v>
      </c>
      <c r="R42" s="81">
        <f t="shared" si="0"/>
        <v>17</v>
      </c>
      <c r="S42" s="81">
        <f t="shared" si="0"/>
        <v>18</v>
      </c>
      <c r="T42" s="81">
        <f t="shared" si="0"/>
        <v>19</v>
      </c>
      <c r="U42" s="81">
        <f t="shared" si="0"/>
        <v>20</v>
      </c>
      <c r="V42" s="83">
        <f t="shared" si="0"/>
        <v>21</v>
      </c>
    </row>
    <row r="43" spans="1:22" ht="15.75" x14ac:dyDescent="0.2">
      <c r="A43" s="84" t="s">
        <v>211</v>
      </c>
      <c r="B43" s="85">
        <v>0</v>
      </c>
      <c r="C43" s="85">
        <v>0.03</v>
      </c>
      <c r="D43" s="85">
        <v>0.03</v>
      </c>
      <c r="E43" s="85">
        <v>0.03</v>
      </c>
      <c r="F43" s="85">
        <v>0.03</v>
      </c>
      <c r="G43" s="85">
        <v>0.03</v>
      </c>
      <c r="H43" s="85">
        <v>0.03</v>
      </c>
      <c r="I43" s="85">
        <v>0.03</v>
      </c>
      <c r="J43" s="85">
        <v>0.03</v>
      </c>
      <c r="K43" s="85">
        <v>0.03</v>
      </c>
      <c r="L43" s="85">
        <v>0.03</v>
      </c>
      <c r="M43" s="85">
        <v>0.03</v>
      </c>
      <c r="N43" s="85">
        <v>0.03</v>
      </c>
      <c r="O43" s="85">
        <v>0.03</v>
      </c>
      <c r="P43" s="85">
        <v>0.03</v>
      </c>
      <c r="Q43" s="85">
        <v>0.03</v>
      </c>
      <c r="R43" s="85">
        <v>0.03</v>
      </c>
      <c r="S43" s="85">
        <v>0.03</v>
      </c>
      <c r="T43" s="85">
        <v>0.03</v>
      </c>
      <c r="U43" s="85">
        <v>0.03</v>
      </c>
      <c r="V43" s="86">
        <v>0.03</v>
      </c>
    </row>
    <row r="44" spans="1:22" ht="15.75" x14ac:dyDescent="0.2">
      <c r="A44" s="87" t="s">
        <v>212</v>
      </c>
      <c r="B44" s="88">
        <f>B43</f>
        <v>0</v>
      </c>
      <c r="C44" s="88">
        <f t="shared" ref="C44:V44" si="1">(1+B44)*(1+C43)-1</f>
        <v>3.0000000000000027E-2</v>
      </c>
      <c r="D44" s="88">
        <f t="shared" si="1"/>
        <v>6.0899999999999954E-2</v>
      </c>
      <c r="E44" s="88">
        <f t="shared" si="1"/>
        <v>9.2727000000000004E-2</v>
      </c>
      <c r="F44" s="88">
        <f t="shared" si="1"/>
        <v>0.12550881000000014</v>
      </c>
      <c r="G44" s="88">
        <f t="shared" si="1"/>
        <v>0.15927407430000007</v>
      </c>
      <c r="H44" s="88">
        <f t="shared" si="1"/>
        <v>0.19405229652900013</v>
      </c>
      <c r="I44" s="88">
        <f t="shared" si="1"/>
        <v>0.22987386542487021</v>
      </c>
      <c r="J44" s="88">
        <f t="shared" si="1"/>
        <v>0.26677008138761638</v>
      </c>
      <c r="K44" s="89">
        <f t="shared" si="1"/>
        <v>0.3047731838292449</v>
      </c>
      <c r="L44" s="89">
        <f t="shared" si="1"/>
        <v>0.34391637934412222</v>
      </c>
      <c r="M44" s="89">
        <f t="shared" si="1"/>
        <v>0.38423387072444593</v>
      </c>
      <c r="N44" s="88">
        <f t="shared" si="1"/>
        <v>0.4257608868461793</v>
      </c>
      <c r="O44" s="88">
        <f t="shared" si="1"/>
        <v>0.4685337134515648</v>
      </c>
      <c r="P44" s="88">
        <f t="shared" si="1"/>
        <v>0.51258972485511189</v>
      </c>
      <c r="Q44" s="88">
        <f t="shared" si="1"/>
        <v>0.55796741660076532</v>
      </c>
      <c r="R44" s="90">
        <f t="shared" si="1"/>
        <v>0.60470643909878841</v>
      </c>
      <c r="S44" s="88">
        <f t="shared" si="1"/>
        <v>0.65284763227175202</v>
      </c>
      <c r="T44" s="88">
        <f t="shared" si="1"/>
        <v>0.70243306123990457</v>
      </c>
      <c r="U44" s="90">
        <f t="shared" si="1"/>
        <v>0.75350605307710183</v>
      </c>
      <c r="V44" s="68">
        <f t="shared" si="1"/>
        <v>0.80611123466941503</v>
      </c>
    </row>
    <row r="45" spans="1:22" s="92" customFormat="1" ht="15.75" x14ac:dyDescent="0.2">
      <c r="A45" s="87" t="s">
        <v>213</v>
      </c>
      <c r="B45" s="91">
        <v>0</v>
      </c>
      <c r="C45" s="91">
        <f>B20*0.2</f>
        <v>2085200</v>
      </c>
      <c r="D45" s="91">
        <f t="shared" ref="D45:V45" si="2">C45*1.03</f>
        <v>2147756</v>
      </c>
      <c r="E45" s="91">
        <f t="shared" si="2"/>
        <v>2212188.6800000002</v>
      </c>
      <c r="F45" s="91">
        <f t="shared" si="2"/>
        <v>2278554.3404000001</v>
      </c>
      <c r="G45" s="91">
        <f t="shared" si="2"/>
        <v>2346910.9706120002</v>
      </c>
      <c r="H45" s="91">
        <f t="shared" si="2"/>
        <v>2417318.2997303605</v>
      </c>
      <c r="I45" s="91">
        <f t="shared" si="2"/>
        <v>2489837.8487222712</v>
      </c>
      <c r="J45" s="91">
        <f t="shared" si="2"/>
        <v>2564532.9841839392</v>
      </c>
      <c r="K45" s="91">
        <f t="shared" si="2"/>
        <v>2641468.9737094576</v>
      </c>
      <c r="L45" s="91">
        <f t="shared" si="2"/>
        <v>2720713.0429207413</v>
      </c>
      <c r="M45" s="91">
        <f t="shared" si="2"/>
        <v>2802334.4342083638</v>
      </c>
      <c r="N45" s="91">
        <f t="shared" si="2"/>
        <v>2886404.4672346148</v>
      </c>
      <c r="O45" s="91">
        <f t="shared" si="2"/>
        <v>2972996.6012516534</v>
      </c>
      <c r="P45" s="91">
        <f t="shared" si="2"/>
        <v>3062186.499289203</v>
      </c>
      <c r="Q45" s="91">
        <f t="shared" si="2"/>
        <v>3154052.0942678791</v>
      </c>
      <c r="R45" s="91">
        <f t="shared" si="2"/>
        <v>3248673.6570959156</v>
      </c>
      <c r="S45" s="91">
        <f t="shared" si="2"/>
        <v>3346133.866808793</v>
      </c>
      <c r="T45" s="91">
        <f t="shared" si="2"/>
        <v>3446517.8828130569</v>
      </c>
      <c r="U45" s="91">
        <f t="shared" si="2"/>
        <v>3549913.4192974488</v>
      </c>
      <c r="V45" s="91">
        <f t="shared" si="2"/>
        <v>3656410.8218763722</v>
      </c>
    </row>
    <row r="46" spans="1:22" s="49" customFormat="1" ht="15.75" x14ac:dyDescent="0.2">
      <c r="A46" s="93"/>
      <c r="B46" s="94"/>
      <c r="C46" s="94"/>
      <c r="D46" s="94"/>
      <c r="E46" s="94"/>
      <c r="F46" s="94"/>
      <c r="G46" s="94"/>
      <c r="H46" s="94"/>
      <c r="I46" s="94"/>
      <c r="J46" s="94"/>
      <c r="K46" s="94"/>
      <c r="L46" s="94"/>
      <c r="M46" s="94"/>
      <c r="N46" s="94"/>
      <c r="O46" s="94"/>
      <c r="P46" s="94"/>
      <c r="Q46" s="94"/>
      <c r="R46" s="94"/>
      <c r="S46" s="94"/>
      <c r="T46" s="94"/>
      <c r="U46" s="94"/>
      <c r="V46" s="95"/>
    </row>
    <row r="47" spans="1:22" ht="15.75" x14ac:dyDescent="0.2">
      <c r="A47" s="96" t="s">
        <v>214</v>
      </c>
      <c r="B47" s="79">
        <v>1</v>
      </c>
      <c r="C47" s="79">
        <v>2</v>
      </c>
      <c r="D47" s="79">
        <v>3</v>
      </c>
      <c r="E47" s="79">
        <v>4</v>
      </c>
      <c r="F47" s="79">
        <f t="shared" ref="F47:V47" si="3">E47+1</f>
        <v>5</v>
      </c>
      <c r="G47" s="79">
        <f t="shared" si="3"/>
        <v>6</v>
      </c>
      <c r="H47" s="79">
        <f t="shared" si="3"/>
        <v>7</v>
      </c>
      <c r="I47" s="79">
        <f t="shared" si="3"/>
        <v>8</v>
      </c>
      <c r="J47" s="79">
        <f t="shared" si="3"/>
        <v>9</v>
      </c>
      <c r="K47" s="81">
        <f t="shared" si="3"/>
        <v>10</v>
      </c>
      <c r="L47" s="82">
        <f t="shared" si="3"/>
        <v>11</v>
      </c>
      <c r="M47" s="82">
        <f t="shared" si="3"/>
        <v>12</v>
      </c>
      <c r="N47" s="82">
        <f t="shared" si="3"/>
        <v>13</v>
      </c>
      <c r="O47" s="82">
        <f t="shared" si="3"/>
        <v>14</v>
      </c>
      <c r="P47" s="82">
        <f t="shared" si="3"/>
        <v>15</v>
      </c>
      <c r="Q47" s="82">
        <f t="shared" si="3"/>
        <v>16</v>
      </c>
      <c r="R47" s="82">
        <f t="shared" si="3"/>
        <v>17</v>
      </c>
      <c r="S47" s="82">
        <f t="shared" si="3"/>
        <v>18</v>
      </c>
      <c r="T47" s="82">
        <f t="shared" si="3"/>
        <v>19</v>
      </c>
      <c r="U47" s="82">
        <f t="shared" si="3"/>
        <v>20</v>
      </c>
      <c r="V47" s="83">
        <f t="shared" si="3"/>
        <v>21</v>
      </c>
    </row>
    <row r="48" spans="1:22" ht="15.75" x14ac:dyDescent="0.2">
      <c r="A48" s="84" t="s">
        <v>215</v>
      </c>
      <c r="B48" s="97">
        <v>0</v>
      </c>
      <c r="C48" s="97">
        <f t="shared" ref="C48:V48" si="4">B48+B49-B50</f>
        <v>0</v>
      </c>
      <c r="D48" s="97">
        <f t="shared" si="4"/>
        <v>0</v>
      </c>
      <c r="E48" s="97">
        <f t="shared" si="4"/>
        <v>0</v>
      </c>
      <c r="F48" s="97">
        <f t="shared" si="4"/>
        <v>0</v>
      </c>
      <c r="G48" s="97">
        <f t="shared" si="4"/>
        <v>0</v>
      </c>
      <c r="H48" s="97">
        <f t="shared" si="4"/>
        <v>0</v>
      </c>
      <c r="I48" s="97">
        <f t="shared" si="4"/>
        <v>0</v>
      </c>
      <c r="J48" s="97">
        <f t="shared" si="4"/>
        <v>0</v>
      </c>
      <c r="K48" s="97">
        <f t="shared" si="4"/>
        <v>0</v>
      </c>
      <c r="L48" s="98">
        <f t="shared" si="4"/>
        <v>0</v>
      </c>
      <c r="M48" s="98">
        <f t="shared" si="4"/>
        <v>0</v>
      </c>
      <c r="N48" s="98">
        <f t="shared" si="4"/>
        <v>0</v>
      </c>
      <c r="O48" s="98">
        <f t="shared" si="4"/>
        <v>0</v>
      </c>
      <c r="P48" s="98">
        <f t="shared" si="4"/>
        <v>0</v>
      </c>
      <c r="Q48" s="98">
        <f t="shared" si="4"/>
        <v>0</v>
      </c>
      <c r="R48" s="98">
        <f t="shared" si="4"/>
        <v>0</v>
      </c>
      <c r="S48" s="98">
        <f t="shared" si="4"/>
        <v>0</v>
      </c>
      <c r="T48" s="98">
        <f t="shared" si="4"/>
        <v>0</v>
      </c>
      <c r="U48" s="98">
        <f t="shared" si="4"/>
        <v>0</v>
      </c>
      <c r="V48" s="58">
        <f t="shared" si="4"/>
        <v>0</v>
      </c>
    </row>
    <row r="49" spans="1:22" ht="15.75" x14ac:dyDescent="0.2">
      <c r="A49" s="84" t="s">
        <v>216</v>
      </c>
      <c r="B49" s="97">
        <f>B20*B23*B38*1.18</f>
        <v>0</v>
      </c>
      <c r="C49" s="97">
        <v>0</v>
      </c>
      <c r="D49" s="97">
        <v>0</v>
      </c>
      <c r="E49" s="97">
        <v>0</v>
      </c>
      <c r="F49" s="97">
        <v>0</v>
      </c>
      <c r="G49" s="97">
        <v>0</v>
      </c>
      <c r="H49" s="97">
        <v>0</v>
      </c>
      <c r="I49" s="97">
        <v>0</v>
      </c>
      <c r="J49" s="97">
        <v>0</v>
      </c>
      <c r="K49" s="97">
        <v>0</v>
      </c>
      <c r="L49" s="98">
        <v>0</v>
      </c>
      <c r="M49" s="98">
        <v>0</v>
      </c>
      <c r="N49" s="98">
        <v>0</v>
      </c>
      <c r="O49" s="98">
        <v>0</v>
      </c>
      <c r="P49" s="98">
        <v>0</v>
      </c>
      <c r="Q49" s="98">
        <v>0</v>
      </c>
      <c r="R49" s="98">
        <v>0</v>
      </c>
      <c r="S49" s="98">
        <v>0</v>
      </c>
      <c r="T49" s="98">
        <v>0</v>
      </c>
      <c r="U49" s="98">
        <v>0</v>
      </c>
      <c r="V49" s="58">
        <v>0</v>
      </c>
    </row>
    <row r="50" spans="1:22" ht="15.75" x14ac:dyDescent="0.2">
      <c r="A50" s="84" t="s">
        <v>217</v>
      </c>
      <c r="B50" s="97">
        <f>IFERROR($B$49/$B$35,0)</f>
        <v>0</v>
      </c>
      <c r="C50" s="97">
        <f t="shared" ref="C50:V50" si="5">IF(ROUND(C48,1)=0,0,B50+C49/$B$35)</f>
        <v>0</v>
      </c>
      <c r="D50" s="97">
        <f t="shared" si="5"/>
        <v>0</v>
      </c>
      <c r="E50" s="97">
        <f t="shared" si="5"/>
        <v>0</v>
      </c>
      <c r="F50" s="97">
        <f t="shared" si="5"/>
        <v>0</v>
      </c>
      <c r="G50" s="97">
        <f t="shared" si="5"/>
        <v>0</v>
      </c>
      <c r="H50" s="97">
        <f t="shared" si="5"/>
        <v>0</v>
      </c>
      <c r="I50" s="97">
        <f t="shared" si="5"/>
        <v>0</v>
      </c>
      <c r="J50" s="97">
        <f t="shared" si="5"/>
        <v>0</v>
      </c>
      <c r="K50" s="97">
        <f t="shared" si="5"/>
        <v>0</v>
      </c>
      <c r="L50" s="98">
        <f t="shared" si="5"/>
        <v>0</v>
      </c>
      <c r="M50" s="98">
        <f t="shared" si="5"/>
        <v>0</v>
      </c>
      <c r="N50" s="98">
        <f t="shared" si="5"/>
        <v>0</v>
      </c>
      <c r="O50" s="98">
        <f t="shared" si="5"/>
        <v>0</v>
      </c>
      <c r="P50" s="98">
        <f t="shared" si="5"/>
        <v>0</v>
      </c>
      <c r="Q50" s="98">
        <f t="shared" si="5"/>
        <v>0</v>
      </c>
      <c r="R50" s="98">
        <f t="shared" si="5"/>
        <v>0</v>
      </c>
      <c r="S50" s="98">
        <f t="shared" si="5"/>
        <v>0</v>
      </c>
      <c r="T50" s="98">
        <f t="shared" si="5"/>
        <v>0</v>
      </c>
      <c r="U50" s="98">
        <f t="shared" si="5"/>
        <v>0</v>
      </c>
      <c r="V50" s="58">
        <f t="shared" si="5"/>
        <v>0</v>
      </c>
    </row>
    <row r="51" spans="1:22" ht="15.75" x14ac:dyDescent="0.2">
      <c r="A51" s="87" t="s">
        <v>218</v>
      </c>
      <c r="B51" s="91">
        <f t="shared" ref="B51:V51" si="6">AVERAGE(SUM(B48:B49),(SUM(B48:B49)-B50))*$B$37</f>
        <v>0</v>
      </c>
      <c r="C51" s="91">
        <f t="shared" si="6"/>
        <v>0</v>
      </c>
      <c r="D51" s="91">
        <f t="shared" si="6"/>
        <v>0</v>
      </c>
      <c r="E51" s="91">
        <f t="shared" si="6"/>
        <v>0</v>
      </c>
      <c r="F51" s="91">
        <f t="shared" si="6"/>
        <v>0</v>
      </c>
      <c r="G51" s="91">
        <f t="shared" si="6"/>
        <v>0</v>
      </c>
      <c r="H51" s="91">
        <f t="shared" si="6"/>
        <v>0</v>
      </c>
      <c r="I51" s="91">
        <f t="shared" si="6"/>
        <v>0</v>
      </c>
      <c r="J51" s="91">
        <f t="shared" si="6"/>
        <v>0</v>
      </c>
      <c r="K51" s="91">
        <f t="shared" si="6"/>
        <v>0</v>
      </c>
      <c r="L51" s="99">
        <f t="shared" si="6"/>
        <v>0</v>
      </c>
      <c r="M51" s="99">
        <f t="shared" si="6"/>
        <v>0</v>
      </c>
      <c r="N51" s="99">
        <f t="shared" si="6"/>
        <v>0</v>
      </c>
      <c r="O51" s="99">
        <f t="shared" si="6"/>
        <v>0</v>
      </c>
      <c r="P51" s="99">
        <f t="shared" si="6"/>
        <v>0</v>
      </c>
      <c r="Q51" s="99">
        <f t="shared" si="6"/>
        <v>0</v>
      </c>
      <c r="R51" s="99">
        <f t="shared" si="6"/>
        <v>0</v>
      </c>
      <c r="S51" s="99">
        <f t="shared" si="6"/>
        <v>0</v>
      </c>
      <c r="T51" s="99">
        <f t="shared" si="6"/>
        <v>0</v>
      </c>
      <c r="U51" s="99">
        <f t="shared" si="6"/>
        <v>0</v>
      </c>
      <c r="V51" s="61">
        <f t="shared" si="6"/>
        <v>0</v>
      </c>
    </row>
    <row r="52" spans="1:22" ht="15.75" x14ac:dyDescent="0.2">
      <c r="A52" s="100"/>
      <c r="B52" s="101"/>
      <c r="C52" s="102"/>
      <c r="D52" s="102"/>
      <c r="E52" s="102"/>
      <c r="F52" s="102"/>
      <c r="G52" s="102"/>
      <c r="H52" s="102"/>
      <c r="I52" s="102"/>
      <c r="J52" s="102"/>
      <c r="K52" s="103"/>
      <c r="L52" s="103"/>
      <c r="M52" s="103"/>
      <c r="N52" s="103"/>
      <c r="O52" s="103"/>
      <c r="P52" s="103"/>
      <c r="Q52" s="103"/>
      <c r="R52" s="103"/>
      <c r="S52" s="103"/>
      <c r="T52" s="103"/>
      <c r="U52" s="103"/>
      <c r="V52" s="104"/>
    </row>
    <row r="53" spans="1:22" s="105" customFormat="1" ht="15.75" x14ac:dyDescent="0.2">
      <c r="A53" s="96" t="s">
        <v>219</v>
      </c>
      <c r="B53" s="79">
        <v>1</v>
      </c>
      <c r="C53" s="79">
        <v>2</v>
      </c>
      <c r="D53" s="79">
        <v>3</v>
      </c>
      <c r="E53" s="79">
        <v>4</v>
      </c>
      <c r="F53" s="79">
        <f t="shared" ref="F53:V53" si="7">E53+1</f>
        <v>5</v>
      </c>
      <c r="G53" s="79">
        <f t="shared" si="7"/>
        <v>6</v>
      </c>
      <c r="H53" s="79">
        <f t="shared" si="7"/>
        <v>7</v>
      </c>
      <c r="I53" s="79">
        <f t="shared" si="7"/>
        <v>8</v>
      </c>
      <c r="J53" s="79">
        <f t="shared" si="7"/>
        <v>9</v>
      </c>
      <c r="K53" s="81">
        <f t="shared" si="7"/>
        <v>10</v>
      </c>
      <c r="L53" s="82">
        <f t="shared" si="7"/>
        <v>11</v>
      </c>
      <c r="M53" s="82">
        <f t="shared" si="7"/>
        <v>12</v>
      </c>
      <c r="N53" s="82">
        <f t="shared" si="7"/>
        <v>13</v>
      </c>
      <c r="O53" s="82">
        <f t="shared" si="7"/>
        <v>14</v>
      </c>
      <c r="P53" s="82">
        <f t="shared" si="7"/>
        <v>15</v>
      </c>
      <c r="Q53" s="82">
        <f t="shared" si="7"/>
        <v>16</v>
      </c>
      <c r="R53" s="82">
        <f t="shared" si="7"/>
        <v>17</v>
      </c>
      <c r="S53" s="82">
        <f t="shared" si="7"/>
        <v>18</v>
      </c>
      <c r="T53" s="82">
        <f t="shared" si="7"/>
        <v>19</v>
      </c>
      <c r="U53" s="82">
        <f t="shared" si="7"/>
        <v>20</v>
      </c>
      <c r="V53" s="83">
        <f t="shared" si="7"/>
        <v>21</v>
      </c>
    </row>
    <row r="54" spans="1:22" s="92" customFormat="1" ht="14.25" x14ac:dyDescent="0.2">
      <c r="A54" s="106" t="s">
        <v>220</v>
      </c>
      <c r="B54" s="107">
        <f t="shared" ref="B54:V54" si="8">B45*$B$23</f>
        <v>0</v>
      </c>
      <c r="C54" s="107">
        <f t="shared" si="8"/>
        <v>2085200</v>
      </c>
      <c r="D54" s="107">
        <f t="shared" si="8"/>
        <v>2147756</v>
      </c>
      <c r="E54" s="107">
        <f t="shared" si="8"/>
        <v>2212188.6800000002</v>
      </c>
      <c r="F54" s="107">
        <f t="shared" si="8"/>
        <v>2278554.3404000001</v>
      </c>
      <c r="G54" s="107">
        <f t="shared" si="8"/>
        <v>2346910.9706120002</v>
      </c>
      <c r="H54" s="107">
        <f t="shared" si="8"/>
        <v>2417318.2997303605</v>
      </c>
      <c r="I54" s="107">
        <f t="shared" si="8"/>
        <v>2489837.8487222712</v>
      </c>
      <c r="J54" s="107">
        <f t="shared" si="8"/>
        <v>2564532.9841839392</v>
      </c>
      <c r="K54" s="107">
        <f t="shared" si="8"/>
        <v>2641468.9737094576</v>
      </c>
      <c r="L54" s="108">
        <f t="shared" si="8"/>
        <v>2720713.0429207413</v>
      </c>
      <c r="M54" s="108">
        <f t="shared" si="8"/>
        <v>2802334.4342083638</v>
      </c>
      <c r="N54" s="108">
        <f t="shared" si="8"/>
        <v>2886404.4672346148</v>
      </c>
      <c r="O54" s="108">
        <f t="shared" si="8"/>
        <v>2972996.6012516534</v>
      </c>
      <c r="P54" s="108">
        <f t="shared" si="8"/>
        <v>3062186.499289203</v>
      </c>
      <c r="Q54" s="108">
        <f t="shared" si="8"/>
        <v>3154052.0942678791</v>
      </c>
      <c r="R54" s="108">
        <f t="shared" si="8"/>
        <v>3248673.6570959156</v>
      </c>
      <c r="S54" s="108">
        <f t="shared" si="8"/>
        <v>3346133.866808793</v>
      </c>
      <c r="T54" s="108">
        <f t="shared" si="8"/>
        <v>3446517.8828130569</v>
      </c>
      <c r="U54" s="108">
        <f t="shared" si="8"/>
        <v>3549913.4192974488</v>
      </c>
      <c r="V54" s="108">
        <f t="shared" si="8"/>
        <v>3656410.8218763722</v>
      </c>
    </row>
    <row r="55" spans="1:22" s="49" customFormat="1" ht="15.75" x14ac:dyDescent="0.2">
      <c r="A55" s="84" t="s">
        <v>221</v>
      </c>
      <c r="B55" s="109">
        <f t="shared" ref="B55:V55" si="9">SUM(B56:B62)</f>
        <v>0</v>
      </c>
      <c r="C55" s="109">
        <f t="shared" si="9"/>
        <v>214996.08000000002</v>
      </c>
      <c r="D55" s="109">
        <f t="shared" si="9"/>
        <v>205538.0912</v>
      </c>
      <c r="E55" s="109">
        <f t="shared" si="9"/>
        <v>196077.53588799998</v>
      </c>
      <c r="F55" s="109">
        <f t="shared" si="9"/>
        <v>186614.57413872</v>
      </c>
      <c r="G55" s="109">
        <f t="shared" si="9"/>
        <v>177149.38031192479</v>
      </c>
      <c r="H55" s="109">
        <f t="shared" si="9"/>
        <v>584722.11759113695</v>
      </c>
      <c r="I55" s="109">
        <f t="shared" si="9"/>
        <v>158213.04311943619</v>
      </c>
      <c r="J55" s="109">
        <f t="shared" si="9"/>
        <v>148742.353613607</v>
      </c>
      <c r="K55" s="109">
        <f t="shared" si="9"/>
        <v>139270.28905462642</v>
      </c>
      <c r="L55" s="110">
        <f t="shared" si="9"/>
        <v>129797.10816018091</v>
      </c>
      <c r="M55" s="110">
        <f t="shared" si="9"/>
        <v>120323.08940825865</v>
      </c>
      <c r="N55" s="110">
        <f t="shared" si="9"/>
        <v>110848.53210990963</v>
      </c>
      <c r="O55" s="110">
        <f t="shared" si="9"/>
        <v>101373.75753338625</v>
      </c>
      <c r="P55" s="110">
        <f t="shared" si="9"/>
        <v>91899.110081974359</v>
      </c>
      <c r="Q55" s="110">
        <f t="shared" si="9"/>
        <v>82424.958527923562</v>
      </c>
      <c r="R55" s="110">
        <f t="shared" si="9"/>
        <v>72951.697304990827</v>
      </c>
      <c r="S55" s="110">
        <f t="shared" si="9"/>
        <v>72654.62786221932</v>
      </c>
      <c r="T55" s="110">
        <f t="shared" si="9"/>
        <v>72359.320081687794</v>
      </c>
      <c r="U55" s="110">
        <f t="shared" si="9"/>
        <v>72066.253763084402</v>
      </c>
      <c r="V55" s="111">
        <f t="shared" si="9"/>
        <v>71775.940178080753</v>
      </c>
    </row>
    <row r="56" spans="1:22" ht="15.75" x14ac:dyDescent="0.2">
      <c r="A56" s="84"/>
      <c r="B56" s="109">
        <v>0</v>
      </c>
      <c r="C56" s="109">
        <f t="shared" ref="C56:V56" si="10">-(C54*0.014)</f>
        <v>-29192.799999999999</v>
      </c>
      <c r="D56" s="109">
        <f t="shared" si="10"/>
        <v>-30068.583999999999</v>
      </c>
      <c r="E56" s="109">
        <f t="shared" si="10"/>
        <v>-30970.641520000005</v>
      </c>
      <c r="F56" s="109">
        <f t="shared" si="10"/>
        <v>-31899.760765600004</v>
      </c>
      <c r="G56" s="109">
        <f t="shared" si="10"/>
        <v>-32856.753588568004</v>
      </c>
      <c r="H56" s="109">
        <f t="shared" si="10"/>
        <v>-33842.456196225045</v>
      </c>
      <c r="I56" s="109">
        <f t="shared" si="10"/>
        <v>-34857.729882111795</v>
      </c>
      <c r="J56" s="109">
        <f t="shared" si="10"/>
        <v>-35903.461778575147</v>
      </c>
      <c r="K56" s="109">
        <f t="shared" si="10"/>
        <v>-36980.565631932404</v>
      </c>
      <c r="L56" s="109">
        <f t="shared" si="10"/>
        <v>-38089.982600890376</v>
      </c>
      <c r="M56" s="109">
        <f t="shared" si="10"/>
        <v>-39232.682078917096</v>
      </c>
      <c r="N56" s="109">
        <f t="shared" si="10"/>
        <v>-40409.662541284604</v>
      </c>
      <c r="O56" s="109">
        <f t="shared" si="10"/>
        <v>-41621.952417523149</v>
      </c>
      <c r="P56" s="109">
        <f t="shared" si="10"/>
        <v>-42870.610990048845</v>
      </c>
      <c r="Q56" s="109">
        <f t="shared" si="10"/>
        <v>-44156.72931975031</v>
      </c>
      <c r="R56" s="109">
        <f t="shared" si="10"/>
        <v>-45481.43119934282</v>
      </c>
      <c r="S56" s="109">
        <f t="shared" si="10"/>
        <v>-46845.874135323102</v>
      </c>
      <c r="T56" s="109">
        <f t="shared" si="10"/>
        <v>-48251.250359382801</v>
      </c>
      <c r="U56" s="109">
        <f t="shared" si="10"/>
        <v>-49698.787870164284</v>
      </c>
      <c r="V56" s="109">
        <f t="shared" si="10"/>
        <v>-51189.751506269211</v>
      </c>
    </row>
    <row r="57" spans="1:22" ht="15.75" x14ac:dyDescent="0.2">
      <c r="A57" s="112" t="s">
        <v>222</v>
      </c>
      <c r="B57" s="109">
        <v>0</v>
      </c>
      <c r="C57" s="113">
        <f t="shared" ref="C57:V57" si="11">IF($B$25=B42,$B$20*0.04,0)</f>
        <v>0</v>
      </c>
      <c r="D57" s="113">
        <f t="shared" si="11"/>
        <v>0</v>
      </c>
      <c r="E57" s="113">
        <f t="shared" si="11"/>
        <v>0</v>
      </c>
      <c r="F57" s="113">
        <f t="shared" si="11"/>
        <v>0</v>
      </c>
      <c r="G57" s="113">
        <f t="shared" si="11"/>
        <v>0</v>
      </c>
      <c r="H57" s="113">
        <f t="shared" si="11"/>
        <v>417040</v>
      </c>
      <c r="I57" s="113">
        <f t="shared" si="11"/>
        <v>0</v>
      </c>
      <c r="J57" s="113">
        <f t="shared" si="11"/>
        <v>0</v>
      </c>
      <c r="K57" s="113">
        <f t="shared" si="11"/>
        <v>0</v>
      </c>
      <c r="L57" s="113">
        <f t="shared" si="11"/>
        <v>0</v>
      </c>
      <c r="M57" s="113">
        <f t="shared" si="11"/>
        <v>0</v>
      </c>
      <c r="N57" s="113">
        <f t="shared" si="11"/>
        <v>0</v>
      </c>
      <c r="O57" s="113">
        <f t="shared" si="11"/>
        <v>0</v>
      </c>
      <c r="P57" s="113">
        <f t="shared" si="11"/>
        <v>0</v>
      </c>
      <c r="Q57" s="113">
        <f t="shared" si="11"/>
        <v>0</v>
      </c>
      <c r="R57" s="113">
        <f t="shared" si="11"/>
        <v>0</v>
      </c>
      <c r="S57" s="113">
        <f t="shared" si="11"/>
        <v>0</v>
      </c>
      <c r="T57" s="113">
        <f t="shared" si="11"/>
        <v>0</v>
      </c>
      <c r="U57" s="113">
        <f t="shared" si="11"/>
        <v>0</v>
      </c>
      <c r="V57" s="113">
        <f t="shared" si="11"/>
        <v>0</v>
      </c>
    </row>
    <row r="58" spans="1:22" ht="15.75" x14ac:dyDescent="0.2">
      <c r="A58" s="112" t="str">
        <f>A27</f>
        <v>Прочие расходы при эксплуатации объекта, руб. без НДС</v>
      </c>
      <c r="B58" s="109">
        <v>0</v>
      </c>
      <c r="C58" s="109">
        <f>B27*1.04</f>
        <v>14816.880000000001</v>
      </c>
      <c r="D58" s="109">
        <f t="shared" ref="D58:V58" si="12">C58*1.04</f>
        <v>15409.555200000001</v>
      </c>
      <c r="E58" s="109">
        <f t="shared" si="12"/>
        <v>16025.937408000002</v>
      </c>
      <c r="F58" s="109">
        <f t="shared" si="12"/>
        <v>16666.974904320003</v>
      </c>
      <c r="G58" s="109">
        <f t="shared" si="12"/>
        <v>17333.653900492802</v>
      </c>
      <c r="H58" s="109">
        <f t="shared" si="12"/>
        <v>18027.000056512516</v>
      </c>
      <c r="I58" s="109">
        <f t="shared" si="12"/>
        <v>18748.080058773015</v>
      </c>
      <c r="J58" s="109">
        <f t="shared" si="12"/>
        <v>19498.003261123937</v>
      </c>
      <c r="K58" s="109">
        <f t="shared" si="12"/>
        <v>20277.923391568896</v>
      </c>
      <c r="L58" s="109">
        <f t="shared" si="12"/>
        <v>21089.040327231654</v>
      </c>
      <c r="M58" s="109">
        <f t="shared" si="12"/>
        <v>21932.601940320921</v>
      </c>
      <c r="N58" s="109">
        <f t="shared" si="12"/>
        <v>22809.906017933758</v>
      </c>
      <c r="O58" s="109">
        <f t="shared" si="12"/>
        <v>23722.302258651107</v>
      </c>
      <c r="P58" s="109">
        <f t="shared" si="12"/>
        <v>24671.194348997153</v>
      </c>
      <c r="Q58" s="109">
        <f t="shared" si="12"/>
        <v>25658.042122957038</v>
      </c>
      <c r="R58" s="109">
        <f t="shared" si="12"/>
        <v>26684.363807875321</v>
      </c>
      <c r="S58" s="109">
        <f t="shared" si="12"/>
        <v>27751.738360190335</v>
      </c>
      <c r="T58" s="109">
        <f t="shared" si="12"/>
        <v>28861.807894597951</v>
      </c>
      <c r="U58" s="109">
        <f t="shared" si="12"/>
        <v>30016.280210381869</v>
      </c>
      <c r="V58" s="109">
        <f t="shared" si="12"/>
        <v>31216.931418797143</v>
      </c>
    </row>
    <row r="59" spans="1:22" ht="15.75" x14ac:dyDescent="0.2">
      <c r="A59" s="112" t="s">
        <v>200</v>
      </c>
      <c r="B59" s="109">
        <f t="shared" ref="B59:V59" si="13">-IF(B$42&lt;=$B$25,0,$B$30*(1+B$44)*$B$23)</f>
        <v>0</v>
      </c>
      <c r="C59" s="109">
        <f t="shared" si="13"/>
        <v>0</v>
      </c>
      <c r="D59" s="109">
        <f t="shared" si="13"/>
        <v>0</v>
      </c>
      <c r="E59" s="109">
        <f t="shared" si="13"/>
        <v>0</v>
      </c>
      <c r="F59" s="109">
        <f t="shared" si="13"/>
        <v>0</v>
      </c>
      <c r="G59" s="109">
        <f t="shared" si="13"/>
        <v>0</v>
      </c>
      <c r="H59" s="109">
        <f t="shared" si="13"/>
        <v>-2.6269150523638003E-2</v>
      </c>
      <c r="I59" s="109">
        <f t="shared" si="13"/>
        <v>-2.7057225039347144E-2</v>
      </c>
      <c r="J59" s="109">
        <f t="shared" si="13"/>
        <v>-2.7868941790527558E-2</v>
      </c>
      <c r="K59" s="109">
        <f t="shared" si="13"/>
        <v>-2.8705010044243386E-2</v>
      </c>
      <c r="L59" s="109">
        <f t="shared" si="13"/>
        <v>-2.9566160345570688E-2</v>
      </c>
      <c r="M59" s="109">
        <f t="shared" si="13"/>
        <v>-3.0453145155937809E-2</v>
      </c>
      <c r="N59" s="109">
        <f t="shared" si="13"/>
        <v>-3.1366739510615943E-2</v>
      </c>
      <c r="O59" s="109">
        <f t="shared" si="13"/>
        <v>-3.2307741695934422E-2</v>
      </c>
      <c r="P59" s="109">
        <f t="shared" si="13"/>
        <v>-3.3276973946812463E-2</v>
      </c>
      <c r="Q59" s="109">
        <f t="shared" si="13"/>
        <v>-3.4275283165216837E-2</v>
      </c>
      <c r="R59" s="109">
        <f t="shared" si="13"/>
        <v>-3.530354166017334E-2</v>
      </c>
      <c r="S59" s="109">
        <f t="shared" si="13"/>
        <v>-3.6362647909978542E-2</v>
      </c>
      <c r="T59" s="110">
        <f t="shared" si="13"/>
        <v>-3.7453527347277901E-2</v>
      </c>
      <c r="U59" s="109">
        <f t="shared" si="13"/>
        <v>-3.8577133167696238E-2</v>
      </c>
      <c r="V59" s="111">
        <f t="shared" si="13"/>
        <v>-3.973444716272713E-2</v>
      </c>
    </row>
    <row r="60" spans="1:22" ht="15.75" x14ac:dyDescent="0.2">
      <c r="A60" s="112" t="s">
        <v>200</v>
      </c>
      <c r="B60" s="109">
        <f t="shared" ref="B60:V60" si="14">-$B$32*(1+B$44)*$B$23*365</f>
        <v>0</v>
      </c>
      <c r="C60" s="109">
        <f t="shared" si="14"/>
        <v>0</v>
      </c>
      <c r="D60" s="109">
        <f t="shared" si="14"/>
        <v>0</v>
      </c>
      <c r="E60" s="109">
        <f t="shared" si="14"/>
        <v>0</v>
      </c>
      <c r="F60" s="109">
        <f t="shared" si="14"/>
        <v>0</v>
      </c>
      <c r="G60" s="109">
        <f t="shared" si="14"/>
        <v>0</v>
      </c>
      <c r="H60" s="109">
        <f t="shared" si="14"/>
        <v>0</v>
      </c>
      <c r="I60" s="109">
        <f t="shared" si="14"/>
        <v>0</v>
      </c>
      <c r="J60" s="109">
        <f t="shared" si="14"/>
        <v>0</v>
      </c>
      <c r="K60" s="109">
        <f t="shared" si="14"/>
        <v>0</v>
      </c>
      <c r="L60" s="109">
        <f t="shared" si="14"/>
        <v>0</v>
      </c>
      <c r="M60" s="109">
        <f t="shared" si="14"/>
        <v>0</v>
      </c>
      <c r="N60" s="109">
        <f t="shared" si="14"/>
        <v>0</v>
      </c>
      <c r="O60" s="109">
        <f t="shared" si="14"/>
        <v>0</v>
      </c>
      <c r="P60" s="109">
        <f t="shared" si="14"/>
        <v>0</v>
      </c>
      <c r="Q60" s="109">
        <f t="shared" si="14"/>
        <v>0</v>
      </c>
      <c r="R60" s="109">
        <f t="shared" si="14"/>
        <v>0</v>
      </c>
      <c r="S60" s="109">
        <f t="shared" si="14"/>
        <v>0</v>
      </c>
      <c r="T60" s="110">
        <f t="shared" si="14"/>
        <v>0</v>
      </c>
      <c r="U60" s="109">
        <f t="shared" si="14"/>
        <v>0</v>
      </c>
      <c r="V60" s="111">
        <f t="shared" si="14"/>
        <v>0</v>
      </c>
    </row>
    <row r="61" spans="1:22" ht="15.75" x14ac:dyDescent="0.2">
      <c r="A61" s="112" t="s">
        <v>200</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10">
        <v>0</v>
      </c>
      <c r="U61" s="109">
        <v>0</v>
      </c>
      <c r="V61" s="111">
        <v>0</v>
      </c>
    </row>
    <row r="62" spans="1:22" ht="15.75" x14ac:dyDescent="0.2">
      <c r="A62" s="112" t="s">
        <v>223</v>
      </c>
      <c r="B62" s="109">
        <v>0</v>
      </c>
      <c r="C62" s="109">
        <f>B20*0.022</f>
        <v>229372</v>
      </c>
      <c r="D62" s="109">
        <f t="shared" ref="D62:V62" si="15">($B$20-C65)*0.022</f>
        <v>220197.12</v>
      </c>
      <c r="E62" s="109">
        <f t="shared" si="15"/>
        <v>211022.24</v>
      </c>
      <c r="F62" s="109">
        <f t="shared" si="15"/>
        <v>201847.36</v>
      </c>
      <c r="G62" s="109">
        <f t="shared" si="15"/>
        <v>192672.47999999998</v>
      </c>
      <c r="H62" s="109">
        <f t="shared" si="15"/>
        <v>183497.59999999998</v>
      </c>
      <c r="I62" s="109">
        <f t="shared" si="15"/>
        <v>174322.72</v>
      </c>
      <c r="J62" s="109">
        <f t="shared" si="15"/>
        <v>165147.84</v>
      </c>
      <c r="K62" s="109">
        <f t="shared" si="15"/>
        <v>155972.96</v>
      </c>
      <c r="L62" s="109">
        <f t="shared" si="15"/>
        <v>146798.07999999999</v>
      </c>
      <c r="M62" s="109">
        <f t="shared" si="15"/>
        <v>137623.19999999998</v>
      </c>
      <c r="N62" s="109">
        <f t="shared" si="15"/>
        <v>128448.31999999999</v>
      </c>
      <c r="O62" s="109">
        <f t="shared" si="15"/>
        <v>119273.43999999999</v>
      </c>
      <c r="P62" s="109">
        <f t="shared" si="15"/>
        <v>110098.56</v>
      </c>
      <c r="Q62" s="109">
        <f t="shared" si="15"/>
        <v>100923.68</v>
      </c>
      <c r="R62" s="109">
        <f t="shared" si="15"/>
        <v>91748.799999999988</v>
      </c>
      <c r="S62" s="109">
        <f t="shared" si="15"/>
        <v>91748.799999999988</v>
      </c>
      <c r="T62" s="109">
        <f t="shared" si="15"/>
        <v>91748.799999999988</v>
      </c>
      <c r="U62" s="109">
        <f t="shared" si="15"/>
        <v>91748.799999999988</v>
      </c>
      <c r="V62" s="109">
        <f t="shared" si="15"/>
        <v>91748.799999999988</v>
      </c>
    </row>
    <row r="63" spans="1:22" s="92" customFormat="1" ht="42.75" x14ac:dyDescent="0.2">
      <c r="A63" s="114" t="s">
        <v>224</v>
      </c>
      <c r="B63" s="107">
        <f t="shared" ref="B63:V63" si="16">B54+B55</f>
        <v>0</v>
      </c>
      <c r="C63" s="107">
        <f t="shared" si="16"/>
        <v>2300196.08</v>
      </c>
      <c r="D63" s="107">
        <f t="shared" si="16"/>
        <v>2353294.0912000001</v>
      </c>
      <c r="E63" s="107">
        <f t="shared" si="16"/>
        <v>2408266.2158880001</v>
      </c>
      <c r="F63" s="107">
        <f t="shared" si="16"/>
        <v>2465168.9145387202</v>
      </c>
      <c r="G63" s="107">
        <f t="shared" si="16"/>
        <v>2524060.3509239252</v>
      </c>
      <c r="H63" s="107">
        <f t="shared" si="16"/>
        <v>3002040.4173214976</v>
      </c>
      <c r="I63" s="107">
        <f t="shared" si="16"/>
        <v>2648050.8918417073</v>
      </c>
      <c r="J63" s="107">
        <f t="shared" si="16"/>
        <v>2713275.3377975463</v>
      </c>
      <c r="K63" s="107">
        <f t="shared" si="16"/>
        <v>2780739.2627640842</v>
      </c>
      <c r="L63" s="107">
        <f t="shared" si="16"/>
        <v>2850510.1510809222</v>
      </c>
      <c r="M63" s="107">
        <f t="shared" si="16"/>
        <v>2922657.5236166222</v>
      </c>
      <c r="N63" s="107">
        <f t="shared" si="16"/>
        <v>2997252.9993445245</v>
      </c>
      <c r="O63" s="107">
        <f t="shared" si="16"/>
        <v>3074370.3587850397</v>
      </c>
      <c r="P63" s="107">
        <f t="shared" si="16"/>
        <v>3154085.6093711774</v>
      </c>
      <c r="Q63" s="107">
        <f t="shared" si="16"/>
        <v>3236477.0527958027</v>
      </c>
      <c r="R63" s="107">
        <f t="shared" si="16"/>
        <v>3321625.3544009062</v>
      </c>
      <c r="S63" s="107">
        <f t="shared" si="16"/>
        <v>3418788.4946710123</v>
      </c>
      <c r="T63" s="108">
        <f t="shared" si="16"/>
        <v>3518877.2028947449</v>
      </c>
      <c r="U63" s="107">
        <f t="shared" si="16"/>
        <v>3621979.6730605331</v>
      </c>
      <c r="V63" s="115">
        <f t="shared" si="16"/>
        <v>3728186.7620544531</v>
      </c>
    </row>
    <row r="64" spans="1:22" s="49" customFormat="1" ht="15.75" x14ac:dyDescent="0.2">
      <c r="A64" s="112" t="s">
        <v>225</v>
      </c>
      <c r="B64" s="109">
        <v>0</v>
      </c>
      <c r="C64" s="109">
        <f t="shared" ref="C64:Q64" si="17">$B$20/$B$22</f>
        <v>417040</v>
      </c>
      <c r="D64" s="109">
        <f t="shared" si="17"/>
        <v>417040</v>
      </c>
      <c r="E64" s="109">
        <f t="shared" si="17"/>
        <v>417040</v>
      </c>
      <c r="F64" s="109">
        <f t="shared" si="17"/>
        <v>417040</v>
      </c>
      <c r="G64" s="109">
        <f t="shared" si="17"/>
        <v>417040</v>
      </c>
      <c r="H64" s="109">
        <f t="shared" si="17"/>
        <v>417040</v>
      </c>
      <c r="I64" s="109">
        <f t="shared" si="17"/>
        <v>417040</v>
      </c>
      <c r="J64" s="109">
        <f t="shared" si="17"/>
        <v>417040</v>
      </c>
      <c r="K64" s="109">
        <f t="shared" si="17"/>
        <v>417040</v>
      </c>
      <c r="L64" s="109">
        <f t="shared" si="17"/>
        <v>417040</v>
      </c>
      <c r="M64" s="109">
        <f t="shared" si="17"/>
        <v>417040</v>
      </c>
      <c r="N64" s="109">
        <f t="shared" si="17"/>
        <v>417040</v>
      </c>
      <c r="O64" s="109">
        <f t="shared" si="17"/>
        <v>417040</v>
      </c>
      <c r="P64" s="109">
        <f t="shared" si="17"/>
        <v>417040</v>
      </c>
      <c r="Q64" s="109">
        <f t="shared" si="17"/>
        <v>417040</v>
      </c>
      <c r="R64" s="109">
        <v>0</v>
      </c>
      <c r="S64" s="109">
        <v>0</v>
      </c>
      <c r="T64" s="110">
        <v>0</v>
      </c>
      <c r="U64" s="109">
        <v>0</v>
      </c>
      <c r="V64" s="111">
        <v>0</v>
      </c>
    </row>
    <row r="65" spans="1:22" s="49" customFormat="1" ht="15.75" x14ac:dyDescent="0.2">
      <c r="A65" s="112" t="s">
        <v>226</v>
      </c>
      <c r="B65" s="109">
        <f>B64</f>
        <v>0</v>
      </c>
      <c r="C65" s="109">
        <f t="shared" ref="C65:V65" si="18">C64+B65</f>
        <v>417040</v>
      </c>
      <c r="D65" s="109">
        <f t="shared" si="18"/>
        <v>834080</v>
      </c>
      <c r="E65" s="109">
        <f t="shared" si="18"/>
        <v>1251120</v>
      </c>
      <c r="F65" s="109">
        <f t="shared" si="18"/>
        <v>1668160</v>
      </c>
      <c r="G65" s="109">
        <f t="shared" si="18"/>
        <v>2085200</v>
      </c>
      <c r="H65" s="109">
        <f t="shared" si="18"/>
        <v>2502240</v>
      </c>
      <c r="I65" s="109">
        <f t="shared" si="18"/>
        <v>2919280</v>
      </c>
      <c r="J65" s="109">
        <f t="shared" si="18"/>
        <v>3336320</v>
      </c>
      <c r="K65" s="109">
        <f t="shared" si="18"/>
        <v>3753360</v>
      </c>
      <c r="L65" s="109">
        <f t="shared" si="18"/>
        <v>4170400</v>
      </c>
      <c r="M65" s="109">
        <f t="shared" si="18"/>
        <v>4587440</v>
      </c>
      <c r="N65" s="109">
        <f t="shared" si="18"/>
        <v>5004480</v>
      </c>
      <c r="O65" s="109">
        <f t="shared" si="18"/>
        <v>5421520</v>
      </c>
      <c r="P65" s="109">
        <f t="shared" si="18"/>
        <v>5838560</v>
      </c>
      <c r="Q65" s="109">
        <f t="shared" si="18"/>
        <v>6255600</v>
      </c>
      <c r="R65" s="109">
        <f t="shared" si="18"/>
        <v>6255600</v>
      </c>
      <c r="S65" s="109">
        <f t="shared" si="18"/>
        <v>6255600</v>
      </c>
      <c r="T65" s="110">
        <f t="shared" si="18"/>
        <v>6255600</v>
      </c>
      <c r="U65" s="109">
        <f t="shared" si="18"/>
        <v>6255600</v>
      </c>
      <c r="V65" s="111">
        <f t="shared" si="18"/>
        <v>6255600</v>
      </c>
    </row>
    <row r="66" spans="1:22" s="92" customFormat="1" ht="28.5" x14ac:dyDescent="0.2">
      <c r="A66" s="114" t="s">
        <v>227</v>
      </c>
      <c r="B66" s="107">
        <f t="shared" ref="B66:V66" si="19">B63+B64</f>
        <v>0</v>
      </c>
      <c r="C66" s="107">
        <f t="shared" si="19"/>
        <v>2717236.08</v>
      </c>
      <c r="D66" s="107">
        <f t="shared" si="19"/>
        <v>2770334.0912000001</v>
      </c>
      <c r="E66" s="107">
        <f t="shared" si="19"/>
        <v>2825306.2158880001</v>
      </c>
      <c r="F66" s="107">
        <f t="shared" si="19"/>
        <v>2882208.9145387202</v>
      </c>
      <c r="G66" s="107">
        <f t="shared" si="19"/>
        <v>2941100.3509239252</v>
      </c>
      <c r="H66" s="107">
        <f t="shared" si="19"/>
        <v>3419080.4173214976</v>
      </c>
      <c r="I66" s="107">
        <f t="shared" si="19"/>
        <v>3065090.8918417073</v>
      </c>
      <c r="J66" s="107">
        <f t="shared" si="19"/>
        <v>3130315.3377975463</v>
      </c>
      <c r="K66" s="107">
        <f t="shared" si="19"/>
        <v>3197779.2627640842</v>
      </c>
      <c r="L66" s="107">
        <f t="shared" si="19"/>
        <v>3267550.1510809222</v>
      </c>
      <c r="M66" s="107">
        <f t="shared" si="19"/>
        <v>3339697.5236166222</v>
      </c>
      <c r="N66" s="107">
        <f t="shared" si="19"/>
        <v>3414292.9993445245</v>
      </c>
      <c r="O66" s="107">
        <f t="shared" si="19"/>
        <v>3491410.3587850397</v>
      </c>
      <c r="P66" s="107">
        <f t="shared" si="19"/>
        <v>3571125.6093711774</v>
      </c>
      <c r="Q66" s="107">
        <f t="shared" si="19"/>
        <v>3653517.0527958027</v>
      </c>
      <c r="R66" s="107">
        <f t="shared" si="19"/>
        <v>3321625.3544009062</v>
      </c>
      <c r="S66" s="107">
        <f t="shared" si="19"/>
        <v>3418788.4946710123</v>
      </c>
      <c r="T66" s="108">
        <f t="shared" si="19"/>
        <v>3518877.2028947449</v>
      </c>
      <c r="U66" s="107">
        <f t="shared" si="19"/>
        <v>3621979.6730605331</v>
      </c>
      <c r="V66" s="115">
        <f t="shared" si="19"/>
        <v>3728186.7620544531</v>
      </c>
    </row>
    <row r="67" spans="1:22" s="49" customFormat="1" ht="15.75" x14ac:dyDescent="0.2">
      <c r="A67" s="112" t="s">
        <v>228</v>
      </c>
      <c r="B67" s="109">
        <f t="shared" ref="B67:V67" si="20">-B51</f>
        <v>0</v>
      </c>
      <c r="C67" s="109">
        <f t="shared" si="20"/>
        <v>0</v>
      </c>
      <c r="D67" s="109">
        <f t="shared" si="20"/>
        <v>0</v>
      </c>
      <c r="E67" s="109">
        <f t="shared" si="20"/>
        <v>0</v>
      </c>
      <c r="F67" s="109">
        <f t="shared" si="20"/>
        <v>0</v>
      </c>
      <c r="G67" s="109">
        <f t="shared" si="20"/>
        <v>0</v>
      </c>
      <c r="H67" s="109">
        <f t="shared" si="20"/>
        <v>0</v>
      </c>
      <c r="I67" s="109">
        <f t="shared" si="20"/>
        <v>0</v>
      </c>
      <c r="J67" s="109">
        <f t="shared" si="20"/>
        <v>0</v>
      </c>
      <c r="K67" s="109">
        <f t="shared" si="20"/>
        <v>0</v>
      </c>
      <c r="L67" s="109">
        <f t="shared" si="20"/>
        <v>0</v>
      </c>
      <c r="M67" s="109">
        <f t="shared" si="20"/>
        <v>0</v>
      </c>
      <c r="N67" s="109">
        <f t="shared" si="20"/>
        <v>0</v>
      </c>
      <c r="O67" s="109">
        <f t="shared" si="20"/>
        <v>0</v>
      </c>
      <c r="P67" s="109">
        <f t="shared" si="20"/>
        <v>0</v>
      </c>
      <c r="Q67" s="109">
        <f t="shared" si="20"/>
        <v>0</v>
      </c>
      <c r="R67" s="109">
        <f t="shared" si="20"/>
        <v>0</v>
      </c>
      <c r="S67" s="109">
        <f t="shared" si="20"/>
        <v>0</v>
      </c>
      <c r="T67" s="110">
        <f t="shared" si="20"/>
        <v>0</v>
      </c>
      <c r="U67" s="109">
        <f t="shared" si="20"/>
        <v>0</v>
      </c>
      <c r="V67" s="111">
        <f t="shared" si="20"/>
        <v>0</v>
      </c>
    </row>
    <row r="68" spans="1:22" s="92" customFormat="1" ht="14.25" x14ac:dyDescent="0.2">
      <c r="A68" s="116" t="s">
        <v>229</v>
      </c>
      <c r="B68" s="107">
        <f t="shared" ref="B68:V68" si="21">B66+B67</f>
        <v>0</v>
      </c>
      <c r="C68" s="107">
        <f t="shared" si="21"/>
        <v>2717236.08</v>
      </c>
      <c r="D68" s="107">
        <f t="shared" si="21"/>
        <v>2770334.0912000001</v>
      </c>
      <c r="E68" s="107">
        <f t="shared" si="21"/>
        <v>2825306.2158880001</v>
      </c>
      <c r="F68" s="107">
        <f t="shared" si="21"/>
        <v>2882208.9145387202</v>
      </c>
      <c r="G68" s="107">
        <f t="shared" si="21"/>
        <v>2941100.3509239252</v>
      </c>
      <c r="H68" s="107">
        <f t="shared" si="21"/>
        <v>3419080.4173214976</v>
      </c>
      <c r="I68" s="107">
        <f t="shared" si="21"/>
        <v>3065090.8918417073</v>
      </c>
      <c r="J68" s="107">
        <f t="shared" si="21"/>
        <v>3130315.3377975463</v>
      </c>
      <c r="K68" s="107">
        <f t="shared" si="21"/>
        <v>3197779.2627640842</v>
      </c>
      <c r="L68" s="107">
        <f t="shared" si="21"/>
        <v>3267550.1510809222</v>
      </c>
      <c r="M68" s="107">
        <f t="shared" si="21"/>
        <v>3339697.5236166222</v>
      </c>
      <c r="N68" s="107">
        <f t="shared" si="21"/>
        <v>3414292.9993445245</v>
      </c>
      <c r="O68" s="107">
        <f t="shared" si="21"/>
        <v>3491410.3587850397</v>
      </c>
      <c r="P68" s="107">
        <f t="shared" si="21"/>
        <v>3571125.6093711774</v>
      </c>
      <c r="Q68" s="108">
        <f t="shared" si="21"/>
        <v>3653517.0527958027</v>
      </c>
      <c r="R68" s="107">
        <f t="shared" si="21"/>
        <v>3321625.3544009062</v>
      </c>
      <c r="S68" s="107">
        <f t="shared" si="21"/>
        <v>3418788.4946710123</v>
      </c>
      <c r="T68" s="108">
        <f t="shared" si="21"/>
        <v>3518877.2028947449</v>
      </c>
      <c r="U68" s="107">
        <f t="shared" si="21"/>
        <v>3621979.6730605331</v>
      </c>
      <c r="V68" s="115">
        <f t="shared" si="21"/>
        <v>3728186.7620544531</v>
      </c>
    </row>
    <row r="69" spans="1:22" s="49" customFormat="1" ht="15.75" x14ac:dyDescent="0.2">
      <c r="A69" s="112" t="s">
        <v>199</v>
      </c>
      <c r="B69" s="109">
        <f t="shared" ref="B69:V69" si="22">-MAX(B68*$B$31,0)</f>
        <v>0</v>
      </c>
      <c r="C69" s="109">
        <f t="shared" si="22"/>
        <v>-543447.21600000001</v>
      </c>
      <c r="D69" s="109">
        <f t="shared" si="22"/>
        <v>-554066.81824000005</v>
      </c>
      <c r="E69" s="109">
        <f t="shared" si="22"/>
        <v>-565061.24317760009</v>
      </c>
      <c r="F69" s="109">
        <f t="shared" si="22"/>
        <v>-576441.78290774405</v>
      </c>
      <c r="G69" s="109">
        <f t="shared" si="22"/>
        <v>-588220.07018478506</v>
      </c>
      <c r="H69" s="109">
        <f t="shared" si="22"/>
        <v>-683816.08346429956</v>
      </c>
      <c r="I69" s="109">
        <f t="shared" si="22"/>
        <v>-613018.17836834153</v>
      </c>
      <c r="J69" s="109">
        <f t="shared" si="22"/>
        <v>-626063.06755950931</v>
      </c>
      <c r="K69" s="109">
        <f t="shared" si="22"/>
        <v>-639555.85255281685</v>
      </c>
      <c r="L69" s="109">
        <f t="shared" si="22"/>
        <v>-653510.03021618444</v>
      </c>
      <c r="M69" s="110">
        <f t="shared" si="22"/>
        <v>-667939.50472332444</v>
      </c>
      <c r="N69" s="110">
        <f t="shared" si="22"/>
        <v>-682858.59986890492</v>
      </c>
      <c r="O69" s="110">
        <f t="shared" si="22"/>
        <v>-698282.07175700797</v>
      </c>
      <c r="P69" s="109">
        <f t="shared" si="22"/>
        <v>-714225.12187423557</v>
      </c>
      <c r="Q69" s="110">
        <f t="shared" si="22"/>
        <v>-730703.41055916063</v>
      </c>
      <c r="R69" s="110">
        <f t="shared" si="22"/>
        <v>-664325.07088018127</v>
      </c>
      <c r="S69" s="109">
        <f t="shared" si="22"/>
        <v>-683757.69893420255</v>
      </c>
      <c r="T69" s="110">
        <f t="shared" si="22"/>
        <v>-703775.44057894906</v>
      </c>
      <c r="U69" s="109">
        <f t="shared" si="22"/>
        <v>-724395.93461210665</v>
      </c>
      <c r="V69" s="111">
        <f t="shared" si="22"/>
        <v>-745637.35241089063</v>
      </c>
    </row>
    <row r="70" spans="1:22" x14ac:dyDescent="0.2">
      <c r="A70" s="117" t="s">
        <v>230</v>
      </c>
      <c r="B70" s="118">
        <f t="shared" ref="B70:V70" si="23">B68+B69</f>
        <v>0</v>
      </c>
      <c r="C70" s="118">
        <f t="shared" si="23"/>
        <v>2173788.8640000001</v>
      </c>
      <c r="D70" s="118">
        <f t="shared" si="23"/>
        <v>2216267.2729600002</v>
      </c>
      <c r="E70" s="118">
        <f t="shared" si="23"/>
        <v>2260244.9727103999</v>
      </c>
      <c r="F70" s="118">
        <f t="shared" si="23"/>
        <v>2305767.1316309762</v>
      </c>
      <c r="G70" s="118">
        <f t="shared" si="23"/>
        <v>2352880.2807391402</v>
      </c>
      <c r="H70" s="118">
        <f t="shared" si="23"/>
        <v>2735264.3338571982</v>
      </c>
      <c r="I70" s="118">
        <f t="shared" si="23"/>
        <v>2452072.7134733656</v>
      </c>
      <c r="J70" s="118">
        <f t="shared" si="23"/>
        <v>2504252.2702380372</v>
      </c>
      <c r="K70" s="118">
        <f t="shared" si="23"/>
        <v>2558223.4102112674</v>
      </c>
      <c r="L70" s="119">
        <f t="shared" si="23"/>
        <v>2614040.1208647378</v>
      </c>
      <c r="M70" s="119">
        <f t="shared" si="23"/>
        <v>2671758.0188932978</v>
      </c>
      <c r="N70" s="119">
        <f t="shared" si="23"/>
        <v>2731434.3994756197</v>
      </c>
      <c r="O70" s="119">
        <f t="shared" si="23"/>
        <v>2793128.2870280319</v>
      </c>
      <c r="P70" s="119">
        <f t="shared" si="23"/>
        <v>2856900.4874969418</v>
      </c>
      <c r="Q70" s="119">
        <f t="shared" si="23"/>
        <v>2922813.6422366421</v>
      </c>
      <c r="R70" s="119">
        <f t="shared" si="23"/>
        <v>2657300.2835207251</v>
      </c>
      <c r="S70" s="119">
        <f t="shared" si="23"/>
        <v>2735030.7957368097</v>
      </c>
      <c r="T70" s="119">
        <f t="shared" si="23"/>
        <v>2815101.7623157958</v>
      </c>
      <c r="U70" s="118">
        <f t="shared" si="23"/>
        <v>2897583.7384484266</v>
      </c>
      <c r="V70" s="120">
        <f t="shared" si="23"/>
        <v>2982549.4096435625</v>
      </c>
    </row>
    <row r="71" spans="1:22" ht="15.75" x14ac:dyDescent="0.2">
      <c r="A71" s="100"/>
      <c r="B71" s="121"/>
      <c r="C71" s="121"/>
      <c r="D71" s="121"/>
      <c r="E71" s="121"/>
      <c r="F71" s="121"/>
      <c r="G71" s="121"/>
      <c r="H71" s="121"/>
      <c r="I71" s="121"/>
      <c r="J71" s="121"/>
      <c r="K71" s="122"/>
      <c r="L71" s="122"/>
      <c r="M71" s="122"/>
      <c r="N71" s="122"/>
      <c r="O71" s="122"/>
      <c r="P71" s="122"/>
      <c r="Q71" s="122"/>
      <c r="R71" s="122"/>
      <c r="S71" s="122"/>
      <c r="T71" s="121"/>
      <c r="U71" s="121"/>
      <c r="V71" s="123"/>
    </row>
    <row r="72" spans="1:22" ht="15.75" x14ac:dyDescent="0.2">
      <c r="A72" s="96" t="s">
        <v>231</v>
      </c>
      <c r="B72" s="79">
        <v>1</v>
      </c>
      <c r="C72" s="79">
        <f t="shared" ref="C72:V72" si="24">B72+1</f>
        <v>2</v>
      </c>
      <c r="D72" s="79">
        <f t="shared" si="24"/>
        <v>3</v>
      </c>
      <c r="E72" s="79">
        <f t="shared" si="24"/>
        <v>4</v>
      </c>
      <c r="F72" s="79">
        <f t="shared" si="24"/>
        <v>5</v>
      </c>
      <c r="G72" s="79">
        <f t="shared" si="24"/>
        <v>6</v>
      </c>
      <c r="H72" s="79">
        <f t="shared" si="24"/>
        <v>7</v>
      </c>
      <c r="I72" s="79">
        <f t="shared" si="24"/>
        <v>8</v>
      </c>
      <c r="J72" s="79">
        <f t="shared" si="24"/>
        <v>9</v>
      </c>
      <c r="K72" s="81">
        <f t="shared" si="24"/>
        <v>10</v>
      </c>
      <c r="L72" s="82">
        <f t="shared" si="24"/>
        <v>11</v>
      </c>
      <c r="M72" s="82">
        <f t="shared" si="24"/>
        <v>12</v>
      </c>
      <c r="N72" s="82">
        <f t="shared" si="24"/>
        <v>13</v>
      </c>
      <c r="O72" s="82">
        <f t="shared" si="24"/>
        <v>14</v>
      </c>
      <c r="P72" s="82">
        <f t="shared" si="24"/>
        <v>15</v>
      </c>
      <c r="Q72" s="82">
        <f t="shared" si="24"/>
        <v>16</v>
      </c>
      <c r="R72" s="82">
        <f t="shared" si="24"/>
        <v>17</v>
      </c>
      <c r="S72" s="82">
        <f t="shared" si="24"/>
        <v>18</v>
      </c>
      <c r="T72" s="82">
        <f t="shared" si="24"/>
        <v>19</v>
      </c>
      <c r="U72" s="82">
        <f t="shared" si="24"/>
        <v>20</v>
      </c>
      <c r="V72" s="83">
        <f t="shared" si="24"/>
        <v>21</v>
      </c>
    </row>
    <row r="73" spans="1:22" s="92" customFormat="1" ht="28.5" x14ac:dyDescent="0.2">
      <c r="A73" s="124" t="s">
        <v>227</v>
      </c>
      <c r="B73" s="107">
        <f t="shared" ref="B73:V73" si="25">B66</f>
        <v>0</v>
      </c>
      <c r="C73" s="107">
        <f t="shared" si="25"/>
        <v>2717236.08</v>
      </c>
      <c r="D73" s="107">
        <f t="shared" si="25"/>
        <v>2770334.0912000001</v>
      </c>
      <c r="E73" s="107">
        <f t="shared" si="25"/>
        <v>2825306.2158880001</v>
      </c>
      <c r="F73" s="107">
        <f t="shared" si="25"/>
        <v>2882208.9145387202</v>
      </c>
      <c r="G73" s="107">
        <f t="shared" si="25"/>
        <v>2941100.3509239252</v>
      </c>
      <c r="H73" s="107">
        <f t="shared" si="25"/>
        <v>3419080.4173214976</v>
      </c>
      <c r="I73" s="107">
        <f t="shared" si="25"/>
        <v>3065090.8918417073</v>
      </c>
      <c r="J73" s="107">
        <f t="shared" si="25"/>
        <v>3130315.3377975463</v>
      </c>
      <c r="K73" s="107">
        <f t="shared" si="25"/>
        <v>3197779.2627640842</v>
      </c>
      <c r="L73" s="108">
        <f t="shared" si="25"/>
        <v>3267550.1510809222</v>
      </c>
      <c r="M73" s="108">
        <f t="shared" si="25"/>
        <v>3339697.5236166222</v>
      </c>
      <c r="N73" s="108">
        <f t="shared" si="25"/>
        <v>3414292.9993445245</v>
      </c>
      <c r="O73" s="108">
        <f t="shared" si="25"/>
        <v>3491410.3587850397</v>
      </c>
      <c r="P73" s="108">
        <f t="shared" si="25"/>
        <v>3571125.6093711774</v>
      </c>
      <c r="Q73" s="108">
        <f t="shared" si="25"/>
        <v>3653517.0527958027</v>
      </c>
      <c r="R73" s="108">
        <f t="shared" si="25"/>
        <v>3321625.3544009062</v>
      </c>
      <c r="S73" s="108">
        <f t="shared" si="25"/>
        <v>3418788.4946710123</v>
      </c>
      <c r="T73" s="108">
        <f t="shared" si="25"/>
        <v>3518877.2028947449</v>
      </c>
      <c r="U73" s="108">
        <f t="shared" si="25"/>
        <v>3621979.6730605331</v>
      </c>
      <c r="V73" s="115">
        <f t="shared" si="25"/>
        <v>3728186.7620544531</v>
      </c>
    </row>
    <row r="74" spans="1:22" s="49" customFormat="1" ht="15.75" x14ac:dyDescent="0.2">
      <c r="A74" s="112" t="s">
        <v>225</v>
      </c>
      <c r="B74" s="109">
        <f t="shared" ref="B74:V74" si="26">-B64</f>
        <v>0</v>
      </c>
      <c r="C74" s="109">
        <f t="shared" si="26"/>
        <v>-417040</v>
      </c>
      <c r="D74" s="109">
        <f t="shared" si="26"/>
        <v>-417040</v>
      </c>
      <c r="E74" s="109">
        <f t="shared" si="26"/>
        <v>-417040</v>
      </c>
      <c r="F74" s="109">
        <f t="shared" si="26"/>
        <v>-417040</v>
      </c>
      <c r="G74" s="109">
        <f t="shared" si="26"/>
        <v>-417040</v>
      </c>
      <c r="H74" s="109">
        <f t="shared" si="26"/>
        <v>-417040</v>
      </c>
      <c r="I74" s="109">
        <f t="shared" si="26"/>
        <v>-417040</v>
      </c>
      <c r="J74" s="109">
        <f t="shared" si="26"/>
        <v>-417040</v>
      </c>
      <c r="K74" s="109">
        <f t="shared" si="26"/>
        <v>-417040</v>
      </c>
      <c r="L74" s="110">
        <f t="shared" si="26"/>
        <v>-417040</v>
      </c>
      <c r="M74" s="110">
        <f t="shared" si="26"/>
        <v>-417040</v>
      </c>
      <c r="N74" s="110">
        <f t="shared" si="26"/>
        <v>-417040</v>
      </c>
      <c r="O74" s="110">
        <f t="shared" si="26"/>
        <v>-417040</v>
      </c>
      <c r="P74" s="110">
        <f t="shared" si="26"/>
        <v>-417040</v>
      </c>
      <c r="Q74" s="110">
        <f t="shared" si="26"/>
        <v>-417040</v>
      </c>
      <c r="R74" s="110">
        <f t="shared" si="26"/>
        <v>0</v>
      </c>
      <c r="S74" s="110">
        <f t="shared" si="26"/>
        <v>0</v>
      </c>
      <c r="T74" s="110">
        <f t="shared" si="26"/>
        <v>0</v>
      </c>
      <c r="U74" s="110">
        <f t="shared" si="26"/>
        <v>0</v>
      </c>
      <c r="V74" s="111">
        <f t="shared" si="26"/>
        <v>0</v>
      </c>
    </row>
    <row r="75" spans="1:22" s="49" customFormat="1" ht="15.75" x14ac:dyDescent="0.2">
      <c r="A75" s="112" t="s">
        <v>228</v>
      </c>
      <c r="B75" s="109">
        <f t="shared" ref="B75:V75" si="27">B67</f>
        <v>0</v>
      </c>
      <c r="C75" s="109">
        <f t="shared" si="27"/>
        <v>0</v>
      </c>
      <c r="D75" s="109">
        <f t="shared" si="27"/>
        <v>0</v>
      </c>
      <c r="E75" s="109">
        <f t="shared" si="27"/>
        <v>0</v>
      </c>
      <c r="F75" s="109">
        <f t="shared" si="27"/>
        <v>0</v>
      </c>
      <c r="G75" s="109">
        <f t="shared" si="27"/>
        <v>0</v>
      </c>
      <c r="H75" s="109">
        <f t="shared" si="27"/>
        <v>0</v>
      </c>
      <c r="I75" s="109">
        <f t="shared" si="27"/>
        <v>0</v>
      </c>
      <c r="J75" s="109">
        <f t="shared" si="27"/>
        <v>0</v>
      </c>
      <c r="K75" s="109">
        <f t="shared" si="27"/>
        <v>0</v>
      </c>
      <c r="L75" s="110">
        <f t="shared" si="27"/>
        <v>0</v>
      </c>
      <c r="M75" s="110">
        <f t="shared" si="27"/>
        <v>0</v>
      </c>
      <c r="N75" s="110">
        <f t="shared" si="27"/>
        <v>0</v>
      </c>
      <c r="O75" s="110">
        <f t="shared" si="27"/>
        <v>0</v>
      </c>
      <c r="P75" s="110">
        <f t="shared" si="27"/>
        <v>0</v>
      </c>
      <c r="Q75" s="110">
        <f t="shared" si="27"/>
        <v>0</v>
      </c>
      <c r="R75" s="110">
        <f t="shared" si="27"/>
        <v>0</v>
      </c>
      <c r="S75" s="110">
        <f t="shared" si="27"/>
        <v>0</v>
      </c>
      <c r="T75" s="110">
        <f t="shared" si="27"/>
        <v>0</v>
      </c>
      <c r="U75" s="110">
        <f t="shared" si="27"/>
        <v>0</v>
      </c>
      <c r="V75" s="111">
        <f t="shared" si="27"/>
        <v>0</v>
      </c>
    </row>
    <row r="76" spans="1:22" s="49" customFormat="1" ht="15.75" x14ac:dyDescent="0.2">
      <c r="A76" s="112" t="s">
        <v>199</v>
      </c>
      <c r="B76" s="109">
        <f>IF(SUM($B$69:B69)+SUM($A$76:A76)&gt;0,0,SUM($B$69:B69)-SUM($A$76:A76))</f>
        <v>0</v>
      </c>
      <c r="C76" s="109">
        <f>IF(SUM($B$69:C69)+SUM($A$76:B76)&gt;0,0,SUM($B$69:C69)-SUM($A$76:B76))</f>
        <v>-543447.21600000001</v>
      </c>
      <c r="D76" s="109">
        <f>IF(SUM($B$69:D69)+SUM($A$76:C76)&gt;0,0,SUM($B$69:D69)-SUM($A$76:C76))</f>
        <v>-554066.81823999994</v>
      </c>
      <c r="E76" s="109">
        <f>IF(SUM($B$69:E69)+SUM($A$76:D76)&gt;0,0,SUM($B$69:E69)-SUM($A$76:D76))</f>
        <v>-565061.2431776002</v>
      </c>
      <c r="F76" s="109">
        <f>IF(SUM($B$69:F69)+SUM($A$76:E76)&gt;0,0,SUM($B$69:F69)-SUM($A$76:E76))</f>
        <v>-576441.78290774394</v>
      </c>
      <c r="G76" s="109">
        <f>IF(SUM($B$69:G69)+SUM($A$76:F76)&gt;0,0,SUM($B$69:G69)-SUM($A$76:F76))</f>
        <v>-588220.07018478494</v>
      </c>
      <c r="H76" s="109">
        <f>IF(SUM($B$69:H69)+SUM($A$76:G76)&gt;0,0,SUM($B$69:H69)-SUM($A$76:G76))</f>
        <v>-683816.08346429933</v>
      </c>
      <c r="I76" s="109">
        <f>IF(SUM($B$69:I69)+SUM($A$76:H76)&gt;0,0,SUM($B$69:I69)-SUM($A$76:H76))</f>
        <v>-613018.17836834164</v>
      </c>
      <c r="J76" s="109">
        <f>IF(SUM($B$69:J69)+SUM($A$76:I76)&gt;0,0,SUM($B$69:J69)-SUM($A$76:I76))</f>
        <v>-626063.06755950907</v>
      </c>
      <c r="K76" s="109">
        <f>IF(SUM($B$69:K69)+SUM($A$76:J76)&gt;0,0,SUM($B$69:K69)-SUM($A$76:J76))</f>
        <v>-639555.8525528172</v>
      </c>
      <c r="L76" s="110">
        <f>IF(SUM($B$69:L69)+SUM($A$76:K76)&gt;0,0,SUM($B$69:L69)-SUM($A$76:K76))</f>
        <v>-653510.03021618444</v>
      </c>
      <c r="M76" s="110">
        <f>IF(SUM($B$69:M69)+SUM($A$76:L76)&gt;0,0,SUM($B$69:M69)-SUM($A$76:L76))</f>
        <v>-667939.50472332444</v>
      </c>
      <c r="N76" s="110">
        <f>IF(SUM($B$69:N69)+SUM($A$76:M76)&gt;0,0,SUM($B$69:N69)-SUM($A$76:M76))</f>
        <v>-682858.5998689048</v>
      </c>
      <c r="O76" s="110">
        <f>IF(SUM($B$69:O69)+SUM($A$76:N76)&gt;0,0,SUM($B$69:O69)-SUM($A$76:N76))</f>
        <v>-698282.07175700832</v>
      </c>
      <c r="P76" s="110">
        <f>IF(SUM($B$69:P69)+SUM($A$76:O76)&gt;0,0,SUM($B$69:P69)-SUM($A$76:O76))</f>
        <v>-714225.12187423557</v>
      </c>
      <c r="Q76" s="110">
        <f>IF(SUM($B$69:Q69)+SUM($A$76:P76)&gt;0,0,SUM($B$69:Q69)-SUM($A$76:P76))</f>
        <v>-730703.41055916063</v>
      </c>
      <c r="R76" s="110">
        <f>IF(SUM($B$69:R69)+SUM($A$76:Q76)&gt;0,0,SUM($B$69:R69)-SUM($A$76:Q76))</f>
        <v>-664325.07088018209</v>
      </c>
      <c r="S76" s="110">
        <f>IF(SUM($B$69:S69)+SUM($A$76:R76)&gt;0,0,SUM($B$69:S69)-SUM($A$76:R76))</f>
        <v>-683757.69893420301</v>
      </c>
      <c r="T76" s="110">
        <f>IF(SUM($B$69:T69)+SUM($A$76:S76)&gt;0,0,SUM($B$69:T69)-SUM($A$76:S76))</f>
        <v>-703775.44057894871</v>
      </c>
      <c r="U76" s="110">
        <f>IF(SUM($B$69:U69)+SUM($A$76:T76)&gt;0,0,SUM($B$69:U69)-SUM($A$76:T76))</f>
        <v>-724395.93461210653</v>
      </c>
      <c r="V76" s="111">
        <f>IF(SUM($B$69:V69)+SUM($A$76:U76)&gt;0,0,SUM($B$69:V69)-SUM($A$76:U76))</f>
        <v>-745637.35241089016</v>
      </c>
    </row>
    <row r="77" spans="1:22" s="49" customFormat="1" ht="15.75" x14ac:dyDescent="0.2">
      <c r="A77" s="112" t="s">
        <v>232</v>
      </c>
      <c r="B77" s="109">
        <f>B20*0.2</f>
        <v>2085200</v>
      </c>
      <c r="C77" s="109">
        <f>$B$77/5</f>
        <v>417040</v>
      </c>
      <c r="D77" s="109">
        <f>$B$77/5</f>
        <v>417040</v>
      </c>
      <c r="E77" s="109">
        <f>$B$77/5</f>
        <v>417040</v>
      </c>
      <c r="F77" s="109">
        <f>$B$77/5</f>
        <v>417040</v>
      </c>
      <c r="G77" s="109">
        <f>$B$77/5</f>
        <v>417040</v>
      </c>
      <c r="H77" s="109">
        <v>0</v>
      </c>
      <c r="I77" s="109">
        <v>0</v>
      </c>
      <c r="J77" s="109">
        <v>0</v>
      </c>
      <c r="K77" s="109">
        <v>0</v>
      </c>
      <c r="L77" s="110">
        <v>0</v>
      </c>
      <c r="M77" s="110">
        <v>0</v>
      </c>
      <c r="N77" s="110">
        <v>0</v>
      </c>
      <c r="O77" s="110">
        <v>0</v>
      </c>
      <c r="P77" s="110">
        <v>0</v>
      </c>
      <c r="Q77" s="110">
        <v>0</v>
      </c>
      <c r="R77" s="110">
        <v>0</v>
      </c>
      <c r="S77" s="110">
        <v>0</v>
      </c>
      <c r="T77" s="110">
        <v>0</v>
      </c>
      <c r="U77" s="110">
        <v>0</v>
      </c>
      <c r="V77" s="111">
        <v>0</v>
      </c>
    </row>
    <row r="78" spans="1:22" s="49" customFormat="1" ht="15.75" x14ac:dyDescent="0.2">
      <c r="A78" s="112" t="s">
        <v>233</v>
      </c>
      <c r="B78" s="109">
        <f>-B54*(B34)</f>
        <v>0</v>
      </c>
      <c r="C78" s="109">
        <f t="shared" ref="C78:V78" si="28">-(C54-B54)*$B$34</f>
        <v>-250224</v>
      </c>
      <c r="D78" s="109">
        <f t="shared" si="28"/>
        <v>-7506.7199999999993</v>
      </c>
      <c r="E78" s="109">
        <f t="shared" si="28"/>
        <v>-7731.9216000000197</v>
      </c>
      <c r="F78" s="109">
        <f t="shared" si="28"/>
        <v>-7963.879247999992</v>
      </c>
      <c r="G78" s="109">
        <f t="shared" si="28"/>
        <v>-8202.7956254400124</v>
      </c>
      <c r="H78" s="109">
        <f t="shared" si="28"/>
        <v>-8448.8794942032364</v>
      </c>
      <c r="I78" s="109">
        <f t="shared" si="28"/>
        <v>-8702.3458790292771</v>
      </c>
      <c r="J78" s="109">
        <f t="shared" si="28"/>
        <v>-8963.4162554001614</v>
      </c>
      <c r="K78" s="109">
        <f t="shared" si="28"/>
        <v>-9232.3187430622056</v>
      </c>
      <c r="L78" s="110">
        <f t="shared" si="28"/>
        <v>-9509.2883053540427</v>
      </c>
      <c r="M78" s="110">
        <f t="shared" si="28"/>
        <v>-9794.5669545147011</v>
      </c>
      <c r="N78" s="110">
        <f t="shared" si="28"/>
        <v>-10088.40396315012</v>
      </c>
      <c r="O78" s="110">
        <f t="shared" si="28"/>
        <v>-10391.056082044635</v>
      </c>
      <c r="P78" s="110">
        <f t="shared" si="28"/>
        <v>-10702.787764505949</v>
      </c>
      <c r="Q78" s="110">
        <f t="shared" si="28"/>
        <v>-11023.87139744114</v>
      </c>
      <c r="R78" s="110">
        <f t="shared" si="28"/>
        <v>-11354.587539364378</v>
      </c>
      <c r="S78" s="110">
        <f t="shared" si="28"/>
        <v>-11695.225165545287</v>
      </c>
      <c r="T78" s="110">
        <f t="shared" si="28"/>
        <v>-12046.081920511666</v>
      </c>
      <c r="U78" s="110">
        <f t="shared" si="28"/>
        <v>-12407.464378127026</v>
      </c>
      <c r="V78" s="111">
        <f t="shared" si="28"/>
        <v>-12779.688309470806</v>
      </c>
    </row>
    <row r="79" spans="1:22" s="49" customFormat="1" ht="15.75" x14ac:dyDescent="0.2">
      <c r="A79" s="112" t="s">
        <v>234</v>
      </c>
      <c r="B79" s="109">
        <f>-($B$20+$B$21)*$B$23</f>
        <v>-10426000</v>
      </c>
      <c r="C79" s="109">
        <v>0</v>
      </c>
      <c r="D79" s="109">
        <v>0</v>
      </c>
      <c r="E79" s="109">
        <v>0</v>
      </c>
      <c r="F79" s="109">
        <v>0</v>
      </c>
      <c r="G79" s="109">
        <v>0</v>
      </c>
      <c r="H79" s="109">
        <v>0</v>
      </c>
      <c r="I79" s="109">
        <v>0</v>
      </c>
      <c r="J79" s="109">
        <v>0</v>
      </c>
      <c r="K79" s="109">
        <v>0</v>
      </c>
      <c r="L79" s="110">
        <v>0</v>
      </c>
      <c r="M79" s="110">
        <v>0</v>
      </c>
      <c r="N79" s="110">
        <v>0</v>
      </c>
      <c r="O79" s="110">
        <v>0</v>
      </c>
      <c r="P79" s="110">
        <v>0</v>
      </c>
      <c r="Q79" s="110">
        <v>0</v>
      </c>
      <c r="R79" s="110">
        <v>0</v>
      </c>
      <c r="S79" s="110">
        <v>0</v>
      </c>
      <c r="T79" s="110">
        <v>0</v>
      </c>
      <c r="U79" s="110">
        <v>0</v>
      </c>
      <c r="V79" s="111">
        <v>0</v>
      </c>
    </row>
    <row r="80" spans="1:22" s="49" customFormat="1" ht="15.75" x14ac:dyDescent="0.2">
      <c r="A80" s="112" t="s">
        <v>235</v>
      </c>
      <c r="B80" s="109">
        <f t="shared" ref="B80:V80" si="29">B49-B50</f>
        <v>0</v>
      </c>
      <c r="C80" s="109">
        <f t="shared" si="29"/>
        <v>0</v>
      </c>
      <c r="D80" s="109">
        <f t="shared" si="29"/>
        <v>0</v>
      </c>
      <c r="E80" s="109">
        <f t="shared" si="29"/>
        <v>0</v>
      </c>
      <c r="F80" s="109">
        <f t="shared" si="29"/>
        <v>0</v>
      </c>
      <c r="G80" s="109">
        <f t="shared" si="29"/>
        <v>0</v>
      </c>
      <c r="H80" s="109">
        <f t="shared" si="29"/>
        <v>0</v>
      </c>
      <c r="I80" s="109">
        <f t="shared" si="29"/>
        <v>0</v>
      </c>
      <c r="J80" s="109">
        <f t="shared" si="29"/>
        <v>0</v>
      </c>
      <c r="K80" s="109">
        <f t="shared" si="29"/>
        <v>0</v>
      </c>
      <c r="L80" s="110">
        <f t="shared" si="29"/>
        <v>0</v>
      </c>
      <c r="M80" s="110">
        <f t="shared" si="29"/>
        <v>0</v>
      </c>
      <c r="N80" s="110">
        <f t="shared" si="29"/>
        <v>0</v>
      </c>
      <c r="O80" s="110">
        <f t="shared" si="29"/>
        <v>0</v>
      </c>
      <c r="P80" s="110">
        <f t="shared" si="29"/>
        <v>0</v>
      </c>
      <c r="Q80" s="110">
        <f t="shared" si="29"/>
        <v>0</v>
      </c>
      <c r="R80" s="110">
        <f t="shared" si="29"/>
        <v>0</v>
      </c>
      <c r="S80" s="110">
        <f t="shared" si="29"/>
        <v>0</v>
      </c>
      <c r="T80" s="110">
        <f t="shared" si="29"/>
        <v>0</v>
      </c>
      <c r="U80" s="110">
        <f t="shared" si="29"/>
        <v>0</v>
      </c>
      <c r="V80" s="111">
        <f t="shared" si="29"/>
        <v>0</v>
      </c>
    </row>
    <row r="81" spans="1:22" s="92" customFormat="1" ht="14.25" x14ac:dyDescent="0.2">
      <c r="A81" s="116" t="s">
        <v>236</v>
      </c>
      <c r="B81" s="107">
        <f t="shared" ref="B81:V81" si="30">SUM(B73:B80)</f>
        <v>-8340800</v>
      </c>
      <c r="C81" s="107">
        <f t="shared" si="30"/>
        <v>1923564.8640000001</v>
      </c>
      <c r="D81" s="107">
        <f t="shared" si="30"/>
        <v>2208760.55296</v>
      </c>
      <c r="E81" s="107">
        <f t="shared" si="30"/>
        <v>2252513.0511103999</v>
      </c>
      <c r="F81" s="107">
        <f t="shared" si="30"/>
        <v>2297803.252382976</v>
      </c>
      <c r="G81" s="107">
        <f t="shared" si="30"/>
        <v>2344677.4851137004</v>
      </c>
      <c r="H81" s="107">
        <f t="shared" si="30"/>
        <v>2309775.454362995</v>
      </c>
      <c r="I81" s="107">
        <f t="shared" si="30"/>
        <v>2026330.3675943364</v>
      </c>
      <c r="J81" s="107">
        <f t="shared" si="30"/>
        <v>2078248.8539826372</v>
      </c>
      <c r="K81" s="107">
        <f t="shared" si="30"/>
        <v>2131951.0914682047</v>
      </c>
      <c r="L81" s="108">
        <f t="shared" si="30"/>
        <v>2187490.8325593839</v>
      </c>
      <c r="M81" s="108">
        <f t="shared" si="30"/>
        <v>2244923.4519387833</v>
      </c>
      <c r="N81" s="108">
        <f t="shared" si="30"/>
        <v>2304305.9955124697</v>
      </c>
      <c r="O81" s="108">
        <f t="shared" si="30"/>
        <v>2365697.2309459867</v>
      </c>
      <c r="P81" s="108">
        <f t="shared" si="30"/>
        <v>2429157.6997324359</v>
      </c>
      <c r="Q81" s="108">
        <f t="shared" si="30"/>
        <v>2494749.7708392008</v>
      </c>
      <c r="R81" s="108">
        <f t="shared" si="30"/>
        <v>2645945.6959813596</v>
      </c>
      <c r="S81" s="108">
        <f t="shared" si="30"/>
        <v>2723335.5705712638</v>
      </c>
      <c r="T81" s="108">
        <f t="shared" si="30"/>
        <v>2803055.6803952847</v>
      </c>
      <c r="U81" s="108">
        <f t="shared" si="30"/>
        <v>2885176.2740702997</v>
      </c>
      <c r="V81" s="115">
        <f t="shared" si="30"/>
        <v>2969769.7213340923</v>
      </c>
    </row>
    <row r="82" spans="1:22" s="92" customFormat="1" ht="14.25" x14ac:dyDescent="0.2">
      <c r="A82" s="116" t="s">
        <v>237</v>
      </c>
      <c r="B82" s="107">
        <f>SUM($B$81:B81)</f>
        <v>-8340800</v>
      </c>
      <c r="C82" s="107">
        <f>SUM($B$81:C81)</f>
        <v>-6417235.1359999999</v>
      </c>
      <c r="D82" s="107">
        <f>SUM($B$81:D81)</f>
        <v>-4208474.5830399999</v>
      </c>
      <c r="E82" s="107">
        <f>SUM($B$81:E81)</f>
        <v>-1955961.5319296001</v>
      </c>
      <c r="F82" s="107">
        <f>SUM($B$81:F81)</f>
        <v>341841.72045337595</v>
      </c>
      <c r="G82" s="107">
        <f>SUM($B$81:G81)</f>
        <v>2686519.2055670763</v>
      </c>
      <c r="H82" s="107">
        <f>SUM($B$81:H81)</f>
        <v>4996294.6599300709</v>
      </c>
      <c r="I82" s="107">
        <f>SUM($B$81:I81)</f>
        <v>7022625.027524407</v>
      </c>
      <c r="J82" s="107">
        <f>SUM($B$81:J81)</f>
        <v>9100873.8815070447</v>
      </c>
      <c r="K82" s="107">
        <f>SUM($B$81:K81)</f>
        <v>11232824.97297525</v>
      </c>
      <c r="L82" s="108">
        <f>SUM($B$81:L81)</f>
        <v>13420315.805534635</v>
      </c>
      <c r="M82" s="108">
        <f>SUM($B$81:M81)</f>
        <v>15665239.257473418</v>
      </c>
      <c r="N82" s="108">
        <f>SUM($B$81:N81)</f>
        <v>17969545.252985887</v>
      </c>
      <c r="O82" s="108">
        <f>SUM($B$81:O81)</f>
        <v>20335242.483931873</v>
      </c>
      <c r="P82" s="108">
        <f>SUM($B$81:P81)</f>
        <v>22764400.183664307</v>
      </c>
      <c r="Q82" s="108">
        <f>SUM($B$81:Q81)</f>
        <v>25259149.954503506</v>
      </c>
      <c r="R82" s="108">
        <f>SUM($B$81:R81)</f>
        <v>27905095.650484867</v>
      </c>
      <c r="S82" s="108">
        <f>SUM($B$81:S81)</f>
        <v>30628431.22105613</v>
      </c>
      <c r="T82" s="108">
        <f>SUM($B$81:T81)</f>
        <v>33431486.901451416</v>
      </c>
      <c r="U82" s="108">
        <f>SUM($B$81:U81)</f>
        <v>36316663.175521716</v>
      </c>
      <c r="V82" s="115">
        <f>SUM($B$81:V81)</f>
        <v>39286432.896855809</v>
      </c>
    </row>
    <row r="83" spans="1:22" s="49" customFormat="1" ht="15.75" x14ac:dyDescent="0.2">
      <c r="A83" s="112" t="s">
        <v>238</v>
      </c>
      <c r="B83" s="125">
        <v>1</v>
      </c>
      <c r="C83" s="125">
        <v>0.86956521739130399</v>
      </c>
      <c r="D83" s="125">
        <v>0.75614366729678595</v>
      </c>
      <c r="E83" s="125">
        <v>0.65751623243198798</v>
      </c>
      <c r="F83" s="125">
        <v>0.57175324559303298</v>
      </c>
      <c r="G83" s="125">
        <v>0.49717673529828998</v>
      </c>
      <c r="H83" s="125">
        <v>0.43232759591155601</v>
      </c>
      <c r="I83" s="125">
        <v>0.37593703992309202</v>
      </c>
      <c r="J83" s="125">
        <v>0.32690177384616698</v>
      </c>
      <c r="K83" s="125">
        <v>0.28426241204014502</v>
      </c>
      <c r="L83" s="126">
        <v>0.24718470612186599</v>
      </c>
      <c r="M83" s="126">
        <v>0.21494322271466601</v>
      </c>
      <c r="N83" s="126">
        <v>0.18690715018666601</v>
      </c>
      <c r="O83" s="126">
        <v>0.16252795668405701</v>
      </c>
      <c r="P83" s="126">
        <v>0.141328657986137</v>
      </c>
      <c r="Q83" s="126">
        <v>0.122894485205336</v>
      </c>
      <c r="R83" s="126">
        <v>0.106864769743771</v>
      </c>
      <c r="S83" s="126">
        <v>9.29258867337137E-2</v>
      </c>
      <c r="T83" s="126">
        <v>8.0805118898881506E-2</v>
      </c>
      <c r="U83" s="126">
        <v>7.0265320781635998E-2</v>
      </c>
      <c r="V83" s="127">
        <v>6.1100278940553102E-2</v>
      </c>
    </row>
    <row r="84" spans="1:22" s="92" customFormat="1" ht="28.5" x14ac:dyDescent="0.2">
      <c r="A84" s="124" t="s">
        <v>239</v>
      </c>
      <c r="B84" s="107">
        <f>-(B20+B77)</f>
        <v>-12511200</v>
      </c>
      <c r="C84" s="107">
        <f t="shared" ref="C84:V84" si="31">C81*C83</f>
        <v>1672665.0991304342</v>
      </c>
      <c r="D84" s="107">
        <f t="shared" si="31"/>
        <v>1670140.3046956512</v>
      </c>
      <c r="E84" s="107">
        <f t="shared" si="31"/>
        <v>1481063.894869992</v>
      </c>
      <c r="F84" s="107">
        <f t="shared" si="31"/>
        <v>1313776.4672841937</v>
      </c>
      <c r="G84" s="107">
        <f t="shared" si="31"/>
        <v>1165719.0973762344</v>
      </c>
      <c r="H84" s="107">
        <f t="shared" si="31"/>
        <v>998579.66928027559</v>
      </c>
      <c r="I84" s="107">
        <f t="shared" si="31"/>
        <v>761772.64029968577</v>
      </c>
      <c r="J84" s="107">
        <f t="shared" si="31"/>
        <v>679383.23686068773</v>
      </c>
      <c r="K84" s="107">
        <f t="shared" si="31"/>
        <v>606033.55961237173</v>
      </c>
      <c r="L84" s="107">
        <f t="shared" si="31"/>
        <v>540714.27859046729</v>
      </c>
      <c r="M84" s="107">
        <f t="shared" si="31"/>
        <v>482531.08150745468</v>
      </c>
      <c r="N84" s="107">
        <f t="shared" si="31"/>
        <v>430691.26677928411</v>
      </c>
      <c r="O84" s="107">
        <f t="shared" si="31"/>
        <v>384491.93707878294</v>
      </c>
      <c r="P84" s="107">
        <f t="shared" si="31"/>
        <v>343309.59773987671</v>
      </c>
      <c r="Q84" s="107">
        <f t="shared" si="31"/>
        <v>306590.98880341352</v>
      </c>
      <c r="R84" s="107">
        <f t="shared" si="31"/>
        <v>282758.37755556992</v>
      </c>
      <c r="S84" s="107">
        <f t="shared" si="31"/>
        <v>253068.37276879884</v>
      </c>
      <c r="T84" s="107">
        <f t="shared" si="31"/>
        <v>226501.24753452616</v>
      </c>
      <c r="U84" s="107">
        <f t="shared" si="31"/>
        <v>202727.83640911494</v>
      </c>
      <c r="V84" s="107">
        <f t="shared" si="31"/>
        <v>181453.75836272168</v>
      </c>
    </row>
    <row r="85" spans="1:22" x14ac:dyDescent="0.2">
      <c r="A85" s="106" t="s">
        <v>240</v>
      </c>
      <c r="B85" s="107">
        <f>SUM($B$84:B84)</f>
        <v>-12511200</v>
      </c>
      <c r="C85" s="107">
        <f>SUM($B$84:C84)</f>
        <v>-10838534.900869565</v>
      </c>
      <c r="D85" s="107">
        <f>SUM($B$84:D84)</f>
        <v>-9168394.5961739141</v>
      </c>
      <c r="E85" s="107">
        <f>SUM($B$84:E84)</f>
        <v>-7687330.7013039216</v>
      </c>
      <c r="F85" s="107">
        <f>SUM($B$84:F84)</f>
        <v>-6373554.2340197284</v>
      </c>
      <c r="G85" s="107">
        <f>SUM($B$84:G84)</f>
        <v>-5207835.1366434935</v>
      </c>
      <c r="H85" s="107">
        <f>SUM($B$84:H84)</f>
        <v>-4209255.4673632178</v>
      </c>
      <c r="I85" s="107">
        <f>SUM($B$84:I84)</f>
        <v>-3447482.8270635321</v>
      </c>
      <c r="J85" s="107">
        <f>SUM($B$84:J84)</f>
        <v>-2768099.5902028442</v>
      </c>
      <c r="K85" s="107">
        <f>SUM($B$84:K84)</f>
        <v>-2162066.0305904727</v>
      </c>
      <c r="L85" s="108">
        <f>SUM($B$84:L84)</f>
        <v>-1621351.7520000055</v>
      </c>
      <c r="M85" s="108">
        <f>SUM($B$84:M84)</f>
        <v>-1138820.6704925508</v>
      </c>
      <c r="N85" s="108">
        <f>SUM($B$84:N84)</f>
        <v>-708129.40371326671</v>
      </c>
      <c r="O85" s="108">
        <f>SUM($B$84:O84)</f>
        <v>-323637.46663448378</v>
      </c>
      <c r="P85" s="108">
        <f>SUM($B$84:P84)</f>
        <v>19672.131105392938</v>
      </c>
      <c r="Q85" s="108">
        <f>SUM($B$84:Q84)</f>
        <v>326263.11990880646</v>
      </c>
      <c r="R85" s="108">
        <f>SUM($B$84:R84)</f>
        <v>609021.49746437639</v>
      </c>
      <c r="S85" s="108">
        <f>SUM($B$84:S84)</f>
        <v>862089.87023317523</v>
      </c>
      <c r="T85" s="108">
        <f>SUM($B$84:T84)</f>
        <v>1088591.1177677014</v>
      </c>
      <c r="U85" s="108">
        <f>SUM($B$84:U84)</f>
        <v>1291318.9541768164</v>
      </c>
      <c r="V85" s="115">
        <f>SUM($B$84:V84)</f>
        <v>1472772.712539538</v>
      </c>
    </row>
    <row r="86" spans="1:22" x14ac:dyDescent="0.2">
      <c r="A86" s="106" t="s">
        <v>241</v>
      </c>
      <c r="B86" s="128">
        <f>IF((ISERR(IRR($B$81:B81))),0,IF(IRR($B$81:B81)&lt;0,0,IRR($B$81:B81)))</f>
        <v>0</v>
      </c>
      <c r="C86" s="128">
        <f>IF((ISERR(IRR($B$81:C81))),0,IF(IRR($B$81:C81)&lt;0,0,IRR($B$81:C81)))</f>
        <v>0</v>
      </c>
      <c r="D86" s="128">
        <f>IF((ISERR(IRR($B$81:D81))),0,IF(IRR($B$81:D81)&lt;0,0,IRR($B$81:D81)))</f>
        <v>0</v>
      </c>
      <c r="E86" s="128">
        <f>IF((ISERR(IRR($B$81:E81))),0,IF(IRR($B$81:E81)&lt;0,0,IRR($B$81:E81)))</f>
        <v>0</v>
      </c>
      <c r="F86" s="128">
        <f>IF((ISERR(IRR($B$81:F81))),0,IF(IRR($B$81:F81)&lt;0,0,IRR($B$81:F81)))</f>
        <v>1.582877245799974E-2</v>
      </c>
      <c r="G86" s="128">
        <f>IF((ISERR(IRR($B$81:G81))),0,IF(IRR($B$81:G81)&lt;0,0,IRR($B$81:G81)))</f>
        <v>9.7765633282403064E-2</v>
      </c>
      <c r="H86" s="128">
        <f>IF((ISERR(IRR($B$81:H81))),0,IF(IRR($B$81:H81)&lt;0,0,IRR($B$81:H81)))</f>
        <v>0.14832202729275656</v>
      </c>
      <c r="I86" s="128">
        <f>IF((ISERR(IRR($B$81:I81))),0,IF(IRR($B$81:I81)&lt;0,0,IRR($B$81:I81)))</f>
        <v>0.17786325855037344</v>
      </c>
      <c r="J86" s="128">
        <f>IF((ISERR(IRR($B$81:J81))),0,IF(IRR($B$81:J81)&lt;0,0,IRR($B$81:J81)))</f>
        <v>0.19890400371093153</v>
      </c>
      <c r="K86" s="128">
        <f>IF((ISERR(IRR($B$81:K81))),0,IF(IRR($B$81:K81)&lt;0,0,IRR($B$81:K81)))</f>
        <v>0.2141550418606144</v>
      </c>
      <c r="L86" s="129">
        <f>IF((ISERR(IRR($B$81:L81))),0,IF(IRR($B$81:L81)&lt;0,0,IRR($B$81:L81)))</f>
        <v>0.22539023506609945</v>
      </c>
      <c r="M86" s="129">
        <f>IF((ISERR(IRR($B$81:M81))),0,IF(IRR($B$81:M81)&lt;0,0,IRR($B$81:M81)))</f>
        <v>0.23378605954636789</v>
      </c>
      <c r="N86" s="129">
        <f>IF((ISERR(IRR($B$81:N81))),0,IF(IRR($B$81:N81)&lt;0,0,IRR($B$81:N81)))</f>
        <v>0.24013796754266958</v>
      </c>
      <c r="O86" s="129">
        <f>IF((ISERR(IRR($B$81:O81))),0,IF(IRR($B$81:O81)&lt;0,0,IRR($B$81:O81)))</f>
        <v>0.24499466709796636</v>
      </c>
      <c r="P86" s="129">
        <f>IF((ISERR(IRR($B$81:P81))),0,IF(IRR($B$81:P81)&lt;0,0,IRR($B$81:P81)))</f>
        <v>0.24874191570307902</v>
      </c>
      <c r="Q86" s="129">
        <f>IF((ISERR(IRR($B$81:Q81))),0,IF(IRR($B$81:Q81)&lt;0,0,IRR($B$81:Q81)))</f>
        <v>0.25165566049237897</v>
      </c>
      <c r="R86" s="129">
        <f>IF((ISERR(IRR($B$81:R81))),0,IF(IRR($B$81:R81)&lt;0,0,IRR($B$81:R81)))</f>
        <v>0.25400900608289834</v>
      </c>
      <c r="S86" s="129">
        <f>IF((ISERR(IRR($B$81:S81))),0,IF(IRR($B$81:S81)&lt;0,0,IRR($B$81:S81)))</f>
        <v>0.25586261487253403</v>
      </c>
      <c r="T86" s="129">
        <f>IF((ISERR(IRR($B$81:T81))),0,IF(IRR($B$81:T81)&lt;0,0,IRR($B$81:T81)))</f>
        <v>0.25732978771771009</v>
      </c>
      <c r="U86" s="129">
        <f>IF((ISERR(IRR($B$81:U81))),0,IF(IRR($B$81:U81)&lt;0,0,IRR($B$81:U81)))</f>
        <v>0.2584959813783303</v>
      </c>
      <c r="V86" s="130">
        <f>IF((ISERR(IRR($B$81:V81))),0,IF(IRR($B$81:V81)&lt;0,0,IRR($B$81:V81)))</f>
        <v>0.25942628910492482</v>
      </c>
    </row>
    <row r="87" spans="1:22" x14ac:dyDescent="0.2">
      <c r="A87" s="106" t="s">
        <v>242</v>
      </c>
      <c r="B87" s="131">
        <f t="shared" ref="B87:V87" si="32">IF(AND(B82&gt;0,A82&lt;0),(B72-(B82/(B82-A82))),0)</f>
        <v>0</v>
      </c>
      <c r="C87" s="131">
        <f t="shared" si="32"/>
        <v>0</v>
      </c>
      <c r="D87" s="131">
        <f t="shared" si="32"/>
        <v>0</v>
      </c>
      <c r="E87" s="131">
        <f t="shared" si="32"/>
        <v>0</v>
      </c>
      <c r="F87" s="131">
        <f t="shared" si="32"/>
        <v>4.8512310746801912</v>
      </c>
      <c r="G87" s="131">
        <f t="shared" si="32"/>
        <v>0</v>
      </c>
      <c r="H87" s="131">
        <f t="shared" si="32"/>
        <v>0</v>
      </c>
      <c r="I87" s="131">
        <f t="shared" si="32"/>
        <v>0</v>
      </c>
      <c r="J87" s="131">
        <f t="shared" si="32"/>
        <v>0</v>
      </c>
      <c r="K87" s="131">
        <f t="shared" si="32"/>
        <v>0</v>
      </c>
      <c r="L87" s="132">
        <f t="shared" si="32"/>
        <v>0</v>
      </c>
      <c r="M87" s="132">
        <f t="shared" si="32"/>
        <v>0</v>
      </c>
      <c r="N87" s="132">
        <f t="shared" si="32"/>
        <v>0</v>
      </c>
      <c r="O87" s="132">
        <f t="shared" si="32"/>
        <v>0</v>
      </c>
      <c r="P87" s="132">
        <f t="shared" si="32"/>
        <v>0</v>
      </c>
      <c r="Q87" s="132">
        <f t="shared" si="32"/>
        <v>0</v>
      </c>
      <c r="R87" s="132">
        <f t="shared" si="32"/>
        <v>0</v>
      </c>
      <c r="S87" s="132">
        <f t="shared" si="32"/>
        <v>0</v>
      </c>
      <c r="T87" s="132">
        <f t="shared" si="32"/>
        <v>0</v>
      </c>
      <c r="U87" s="132">
        <f t="shared" si="32"/>
        <v>0</v>
      </c>
      <c r="V87" s="133">
        <f t="shared" si="32"/>
        <v>0</v>
      </c>
    </row>
    <row r="88" spans="1:22" x14ac:dyDescent="0.2">
      <c r="A88" s="106" t="s">
        <v>243</v>
      </c>
      <c r="B88" s="131">
        <f t="shared" ref="B88:V88" si="33">IF(AND(B85&gt;0,A85&lt;0),(B72-(B85/(B85-A85))),0)</f>
        <v>0</v>
      </c>
      <c r="C88" s="131">
        <f t="shared" si="33"/>
        <v>0</v>
      </c>
      <c r="D88" s="131">
        <f t="shared" si="33"/>
        <v>0</v>
      </c>
      <c r="E88" s="131">
        <f t="shared" si="33"/>
        <v>0</v>
      </c>
      <c r="F88" s="131">
        <f t="shared" si="33"/>
        <v>0</v>
      </c>
      <c r="G88" s="131">
        <f t="shared" si="33"/>
        <v>0</v>
      </c>
      <c r="H88" s="131">
        <f t="shared" si="33"/>
        <v>0</v>
      </c>
      <c r="I88" s="131">
        <f t="shared" si="33"/>
        <v>0</v>
      </c>
      <c r="J88" s="131">
        <f t="shared" si="33"/>
        <v>0</v>
      </c>
      <c r="K88" s="131">
        <f t="shared" si="33"/>
        <v>0</v>
      </c>
      <c r="L88" s="131">
        <f t="shared" si="33"/>
        <v>0</v>
      </c>
      <c r="M88" s="131">
        <f t="shared" si="33"/>
        <v>0</v>
      </c>
      <c r="N88" s="131">
        <f t="shared" si="33"/>
        <v>0</v>
      </c>
      <c r="O88" s="131">
        <f t="shared" si="33"/>
        <v>0</v>
      </c>
      <c r="P88" s="131">
        <f t="shared" si="33"/>
        <v>14.942698569352849</v>
      </c>
      <c r="Q88" s="131">
        <f t="shared" si="33"/>
        <v>0</v>
      </c>
      <c r="R88" s="131">
        <f t="shared" si="33"/>
        <v>0</v>
      </c>
      <c r="S88" s="131">
        <f t="shared" si="33"/>
        <v>0</v>
      </c>
      <c r="T88" s="131">
        <f t="shared" si="33"/>
        <v>0</v>
      </c>
      <c r="U88" s="131">
        <f t="shared" si="33"/>
        <v>0</v>
      </c>
      <c r="V88" s="131">
        <f t="shared" si="33"/>
        <v>0</v>
      </c>
    </row>
    <row r="89" spans="1:22" x14ac:dyDescent="0.2">
      <c r="A89" s="134" t="s">
        <v>244</v>
      </c>
      <c r="B89" s="135"/>
      <c r="C89" s="135"/>
      <c r="D89" s="135"/>
      <c r="E89" s="135"/>
      <c r="F89" s="135"/>
      <c r="G89" s="135"/>
      <c r="H89" s="135"/>
      <c r="I89" s="135"/>
      <c r="J89" s="135"/>
      <c r="K89" s="135"/>
      <c r="L89" s="136"/>
      <c r="M89" s="136"/>
      <c r="N89" s="136"/>
      <c r="O89" s="136"/>
      <c r="P89" s="136"/>
      <c r="Q89" s="136"/>
      <c r="R89" s="136"/>
      <c r="S89" s="136"/>
      <c r="T89" s="136"/>
      <c r="U89" s="136"/>
      <c r="V89" s="137">
        <f>(SUMIF(B84:V84,"&gt;0",B84:V84))/(-SUMIF(B84:V84,"&lt;0",B84:V84))</f>
        <v>1.1177163431596919</v>
      </c>
    </row>
    <row r="90" spans="1:22" s="49" customFormat="1" ht="15.75" x14ac:dyDescent="0.2">
      <c r="A90" s="52"/>
      <c r="B90" s="52"/>
      <c r="C90" s="52"/>
      <c r="D90" s="52"/>
      <c r="E90" s="52"/>
      <c r="F90" s="52"/>
      <c r="G90" s="52"/>
      <c r="H90" s="52"/>
      <c r="I90" s="52"/>
      <c r="J90" s="52"/>
      <c r="K90" s="52"/>
      <c r="L90" s="52"/>
      <c r="M90" s="52"/>
      <c r="N90" s="52"/>
      <c r="O90" s="52"/>
      <c r="P90" s="52"/>
      <c r="Q90" s="52"/>
      <c r="R90" s="52"/>
      <c r="S90" s="52"/>
      <c r="T90" s="52"/>
      <c r="U90" s="52"/>
      <c r="V90" s="52"/>
    </row>
    <row r="91" spans="1:22" ht="107.25" customHeight="1" x14ac:dyDescent="0.2">
      <c r="A91" s="217" t="s">
        <v>245</v>
      </c>
      <c r="B91" s="217"/>
      <c r="C91" s="217"/>
      <c r="D91" s="217"/>
      <c r="E91" s="217"/>
      <c r="F91" s="217"/>
      <c r="G91" s="217"/>
      <c r="H91" s="217"/>
      <c r="I91" s="217"/>
      <c r="J91" s="217"/>
      <c r="K91" s="217"/>
      <c r="L91" s="52"/>
      <c r="M91" s="52"/>
      <c r="N91" s="52"/>
      <c r="O91" s="52"/>
      <c r="P91" s="52"/>
      <c r="Q91" s="52"/>
      <c r="R91" s="52"/>
      <c r="S91" s="52"/>
      <c r="T91" s="52"/>
      <c r="U91" s="52"/>
      <c r="V91" s="52"/>
    </row>
    <row r="92" spans="1:22" s="47" customFormat="1" ht="15.75" customHeight="1" x14ac:dyDescent="0.2">
      <c r="A92" s="138"/>
      <c r="B92" s="138"/>
      <c r="C92" s="138"/>
      <c r="D92" s="138"/>
      <c r="E92" s="138"/>
      <c r="F92" s="138"/>
      <c r="G92" s="138"/>
      <c r="H92" s="138"/>
      <c r="I92" s="138"/>
      <c r="J92" s="138"/>
      <c r="K92" s="138"/>
      <c r="L92" s="138"/>
      <c r="M92" s="138"/>
      <c r="N92" s="138"/>
      <c r="O92" s="138"/>
      <c r="P92" s="138"/>
      <c r="Q92" s="138"/>
      <c r="R92" s="138"/>
      <c r="S92" s="138"/>
      <c r="T92" s="138"/>
      <c r="U92" s="138"/>
      <c r="V92" s="138"/>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E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zoomScale="96" zoomScaleNormal="96" workbookViewId="0">
      <selection activeCell="B29" sqref="B29"/>
    </sheetView>
  </sheetViews>
  <sheetFormatPr defaultColWidth="9" defaultRowHeight="15" x14ac:dyDescent="0.2"/>
  <cols>
    <col min="1" max="1" width="8" style="16" customWidth="1"/>
    <col min="2" max="2" width="31.5703125" style="16" customWidth="1"/>
    <col min="3" max="6" width="13.85546875" style="16" customWidth="1"/>
    <col min="7" max="7" width="13" style="16" customWidth="1"/>
    <col min="8" max="8" width="17.140625" style="16" customWidth="1"/>
    <col min="9" max="9" width="23.7109375" style="16" customWidth="1"/>
    <col min="10" max="10" width="29.42578125" style="16" customWidth="1"/>
    <col min="11" max="1025" width="8.42578125" style="18" customWidth="1"/>
  </cols>
  <sheetData>
    <row r="1" spans="1:10" s="19" customFormat="1" ht="15.75" customHeight="1" x14ac:dyDescent="0.25">
      <c r="F1" s="8" t="s">
        <v>0</v>
      </c>
      <c r="G1" s="8"/>
      <c r="H1" s="8"/>
      <c r="I1" s="8"/>
      <c r="J1" s="8"/>
    </row>
    <row r="2" spans="1:10" s="19" customFormat="1" ht="15.75" customHeight="1" x14ac:dyDescent="0.25">
      <c r="F2" s="8" t="s">
        <v>1</v>
      </c>
      <c r="G2" s="8"/>
      <c r="H2" s="8"/>
      <c r="I2" s="8"/>
      <c r="J2" s="8"/>
    </row>
    <row r="3" spans="1:10" s="19" customFormat="1" ht="15.75" customHeight="1" x14ac:dyDescent="0.25">
      <c r="F3" s="8" t="s">
        <v>2</v>
      </c>
      <c r="G3" s="8"/>
      <c r="H3" s="8"/>
      <c r="I3" s="8"/>
      <c r="J3" s="8"/>
    </row>
    <row r="4" spans="1:10" s="19" customFormat="1" ht="15.75" customHeight="1" x14ac:dyDescent="0.25"/>
    <row r="5" spans="1:10" s="19" customFormat="1" ht="15.75" customHeight="1" x14ac:dyDescent="0.25">
      <c r="A5" s="14" t="str">
        <f>'1. паспорт местоположение'!A5:C5</f>
        <v>Год раскрытия информации: 2023 год</v>
      </c>
      <c r="B5" s="14"/>
      <c r="C5" s="14"/>
      <c r="D5" s="14"/>
      <c r="E5" s="14"/>
      <c r="F5" s="14"/>
      <c r="G5" s="14"/>
      <c r="H5" s="14"/>
      <c r="I5" s="14"/>
      <c r="J5" s="14"/>
    </row>
    <row r="6" spans="1:10" s="19" customFormat="1" ht="15.75" customHeight="1" x14ac:dyDescent="0.25"/>
    <row r="7" spans="1:10" s="19" customFormat="1" ht="18.75" customHeight="1" x14ac:dyDescent="0.3">
      <c r="A7" s="13" t="s">
        <v>4</v>
      </c>
      <c r="B7" s="13"/>
      <c r="C7" s="13"/>
      <c r="D7" s="13"/>
      <c r="E7" s="13"/>
      <c r="F7" s="13"/>
      <c r="G7" s="13"/>
      <c r="H7" s="13"/>
      <c r="I7" s="13"/>
      <c r="J7" s="13"/>
    </row>
    <row r="8" spans="1:10" s="19" customFormat="1" ht="15.75" customHeight="1" x14ac:dyDescent="0.25"/>
    <row r="9" spans="1:10" s="19" customFormat="1" ht="15.75" customHeight="1" x14ac:dyDescent="0.25">
      <c r="A9" s="12" t="s">
        <v>5</v>
      </c>
      <c r="B9" s="12"/>
      <c r="C9" s="12"/>
      <c r="D9" s="12"/>
      <c r="E9" s="12"/>
      <c r="F9" s="12"/>
      <c r="G9" s="12"/>
      <c r="H9" s="12"/>
      <c r="I9" s="12"/>
      <c r="J9" s="12"/>
    </row>
    <row r="10" spans="1:10" s="19" customFormat="1" ht="15.75" customHeight="1" x14ac:dyDescent="0.25">
      <c r="A10" s="11" t="s">
        <v>6</v>
      </c>
      <c r="B10" s="11"/>
      <c r="C10" s="11"/>
      <c r="D10" s="11"/>
      <c r="E10" s="11"/>
      <c r="F10" s="11"/>
      <c r="G10" s="11"/>
      <c r="H10" s="11"/>
      <c r="I10" s="11"/>
      <c r="J10" s="11"/>
    </row>
    <row r="11" spans="1:10" s="19" customFormat="1" ht="15.75" customHeight="1" x14ac:dyDescent="0.25"/>
    <row r="12" spans="1:10" s="19" customFormat="1" ht="15.75" customHeight="1" x14ac:dyDescent="0.25">
      <c r="A12" s="12" t="str">
        <f>'1. паспорт местоположение'!A12:C12</f>
        <v>L_0200001105</v>
      </c>
      <c r="B12" s="12"/>
      <c r="C12" s="12"/>
      <c r="D12" s="12"/>
      <c r="E12" s="12"/>
      <c r="F12" s="12"/>
      <c r="G12" s="12"/>
      <c r="H12" s="12"/>
      <c r="I12" s="12"/>
      <c r="J12" s="12"/>
    </row>
    <row r="13" spans="1:10" s="19" customFormat="1" ht="15.75" customHeight="1" x14ac:dyDescent="0.25">
      <c r="A13" s="11" t="s">
        <v>8</v>
      </c>
      <c r="B13" s="11"/>
      <c r="C13" s="11"/>
      <c r="D13" s="11"/>
      <c r="E13" s="11"/>
      <c r="F13" s="11"/>
      <c r="G13" s="11"/>
      <c r="H13" s="11"/>
      <c r="I13" s="11"/>
      <c r="J13" s="11"/>
    </row>
    <row r="14" spans="1:10" s="19" customFormat="1" ht="15.75" customHeight="1" x14ac:dyDescent="0.25"/>
    <row r="15" spans="1:10" s="19" customFormat="1" ht="15.75" customHeight="1" x14ac:dyDescent="0.25">
      <c r="A15" s="12" t="str">
        <f>'6.2 Паспорт фин осв ввод'!A15</f>
        <v>Реконструкция ВЛ-0,4кВ от ТП-1105, ул. Мраморная,  (ДНТ «Березка») ул. Драгоценная  г. Ростов-на-Дону</v>
      </c>
      <c r="B15" s="12"/>
      <c r="C15" s="12"/>
      <c r="D15" s="12"/>
      <c r="E15" s="12"/>
      <c r="F15" s="12"/>
      <c r="G15" s="12"/>
      <c r="H15" s="12"/>
      <c r="I15" s="12"/>
      <c r="J15" s="12"/>
    </row>
    <row r="16" spans="1:10" s="19" customFormat="1" ht="15.75" customHeight="1" x14ac:dyDescent="0.25">
      <c r="A16" s="11" t="s">
        <v>10</v>
      </c>
      <c r="B16" s="11"/>
      <c r="C16" s="11"/>
      <c r="D16" s="11"/>
      <c r="E16" s="11"/>
      <c r="F16" s="11"/>
      <c r="G16" s="11"/>
      <c r="H16" s="11"/>
      <c r="I16" s="11"/>
      <c r="J16" s="11"/>
    </row>
    <row r="17" spans="1:10" s="19" customFormat="1" ht="15.75" customHeight="1" x14ac:dyDescent="0.25"/>
    <row r="18" spans="1:10" ht="18.75" customHeight="1" x14ac:dyDescent="0.2">
      <c r="A18" s="206" t="s">
        <v>246</v>
      </c>
      <c r="B18" s="206"/>
      <c r="C18" s="206"/>
      <c r="D18" s="206"/>
      <c r="E18" s="206"/>
      <c r="F18" s="206"/>
      <c r="G18" s="206"/>
      <c r="H18" s="206"/>
      <c r="I18" s="206"/>
      <c r="J18" s="206"/>
    </row>
    <row r="19" spans="1:10" ht="15.75" customHeight="1" x14ac:dyDescent="0.2">
      <c r="A19" s="5" t="s">
        <v>247</v>
      </c>
      <c r="B19" s="218" t="s">
        <v>248</v>
      </c>
      <c r="C19" s="218" t="s">
        <v>249</v>
      </c>
      <c r="D19" s="218"/>
      <c r="E19" s="218"/>
      <c r="F19" s="218"/>
      <c r="G19" s="5" t="s">
        <v>250</v>
      </c>
      <c r="H19" s="218" t="s">
        <v>251</v>
      </c>
      <c r="I19" s="5" t="s">
        <v>252</v>
      </c>
      <c r="J19" s="5" t="s">
        <v>253</v>
      </c>
    </row>
    <row r="20" spans="1:10" ht="30.75" customHeight="1" x14ac:dyDescent="0.2">
      <c r="A20" s="5"/>
      <c r="B20" s="218"/>
      <c r="C20" s="218" t="s">
        <v>254</v>
      </c>
      <c r="D20" s="218"/>
      <c r="E20" s="218" t="s">
        <v>255</v>
      </c>
      <c r="F20" s="218"/>
      <c r="G20" s="5"/>
      <c r="H20" s="218"/>
      <c r="I20" s="5"/>
      <c r="J20" s="5"/>
    </row>
    <row r="21" spans="1:10" ht="30.75" customHeight="1" x14ac:dyDescent="0.2">
      <c r="A21" s="5"/>
      <c r="B21" s="218"/>
      <c r="C21" s="28" t="s">
        <v>256</v>
      </c>
      <c r="D21" s="139" t="s">
        <v>257</v>
      </c>
      <c r="E21" s="28" t="s">
        <v>256</v>
      </c>
      <c r="F21" s="139" t="s">
        <v>257</v>
      </c>
      <c r="G21" s="5"/>
      <c r="H21" s="218"/>
      <c r="I21" s="5"/>
      <c r="J21" s="5"/>
    </row>
    <row r="22" spans="1:10" s="30" customFormat="1" ht="15.75" customHeight="1" x14ac:dyDescent="0.2">
      <c r="A22" s="29">
        <v>1</v>
      </c>
      <c r="B22" s="140">
        <v>2</v>
      </c>
      <c r="C22" s="29">
        <v>3</v>
      </c>
      <c r="D22" s="140">
        <v>4</v>
      </c>
      <c r="E22" s="29">
        <v>5</v>
      </c>
      <c r="F22" s="140">
        <v>6</v>
      </c>
      <c r="G22" s="29">
        <v>7</v>
      </c>
      <c r="H22" s="140">
        <v>8</v>
      </c>
      <c r="I22" s="29">
        <v>9</v>
      </c>
      <c r="J22" s="29">
        <v>10</v>
      </c>
    </row>
    <row r="23" spans="1:10" s="141" customFormat="1" ht="30.75" customHeight="1" x14ac:dyDescent="0.2">
      <c r="A23" s="24">
        <v>1</v>
      </c>
      <c r="B23" s="25" t="s">
        <v>258</v>
      </c>
      <c r="C23" s="21">
        <v>2023</v>
      </c>
      <c r="D23" s="21">
        <v>2023</v>
      </c>
      <c r="E23" s="21">
        <v>2023</v>
      </c>
      <c r="F23" s="21">
        <v>2023</v>
      </c>
      <c r="G23" s="21" t="s">
        <v>35</v>
      </c>
      <c r="H23" s="21" t="s">
        <v>35</v>
      </c>
      <c r="I23" s="21" t="s">
        <v>35</v>
      </c>
      <c r="J23" s="21" t="s">
        <v>35</v>
      </c>
    </row>
    <row r="24" spans="1:10" s="38" customFormat="1" ht="15.75" customHeight="1" x14ac:dyDescent="0.2">
      <c r="A24" s="21" t="s">
        <v>259</v>
      </c>
      <c r="B24" s="25" t="s">
        <v>260</v>
      </c>
      <c r="C24" s="142" t="s">
        <v>35</v>
      </c>
      <c r="D24" s="142" t="s">
        <v>35</v>
      </c>
      <c r="E24" s="21" t="s">
        <v>35</v>
      </c>
      <c r="F24" s="21" t="s">
        <v>35</v>
      </c>
      <c r="G24" s="21" t="s">
        <v>35</v>
      </c>
      <c r="H24" s="21" t="s">
        <v>35</v>
      </c>
      <c r="I24" s="21" t="s">
        <v>35</v>
      </c>
      <c r="J24" s="21" t="s">
        <v>35</v>
      </c>
    </row>
    <row r="25" spans="1:10" s="38" customFormat="1" ht="30.75" customHeight="1" x14ac:dyDescent="0.2">
      <c r="A25" s="21" t="s">
        <v>261</v>
      </c>
      <c r="B25" s="25" t="s">
        <v>262</v>
      </c>
      <c r="C25" s="21" t="s">
        <v>35</v>
      </c>
      <c r="D25" s="21" t="s">
        <v>35</v>
      </c>
      <c r="E25" s="21" t="s">
        <v>35</v>
      </c>
      <c r="F25" s="21" t="s">
        <v>35</v>
      </c>
      <c r="G25" s="21" t="s">
        <v>35</v>
      </c>
      <c r="H25" s="21" t="s">
        <v>35</v>
      </c>
      <c r="I25" s="21" t="s">
        <v>35</v>
      </c>
      <c r="J25" s="21" t="s">
        <v>35</v>
      </c>
    </row>
    <row r="26" spans="1:10" s="38" customFormat="1" ht="60.75" customHeight="1" x14ac:dyDescent="0.2">
      <c r="A26" s="21" t="s">
        <v>263</v>
      </c>
      <c r="B26" s="25" t="s">
        <v>264</v>
      </c>
      <c r="C26" s="21" t="s">
        <v>35</v>
      </c>
      <c r="D26" s="21" t="s">
        <v>35</v>
      </c>
      <c r="E26" s="21" t="s">
        <v>35</v>
      </c>
      <c r="F26" s="21" t="s">
        <v>35</v>
      </c>
      <c r="G26" s="21" t="s">
        <v>35</v>
      </c>
      <c r="H26" s="21" t="s">
        <v>35</v>
      </c>
      <c r="I26" s="21" t="s">
        <v>35</v>
      </c>
      <c r="J26" s="21" t="s">
        <v>35</v>
      </c>
    </row>
    <row r="27" spans="1:10" s="38" customFormat="1" ht="30.75" customHeight="1" x14ac:dyDescent="0.2">
      <c r="A27" s="21" t="s">
        <v>265</v>
      </c>
      <c r="B27" s="25" t="s">
        <v>266</v>
      </c>
      <c r="C27" s="21" t="s">
        <v>35</v>
      </c>
      <c r="D27" s="21" t="s">
        <v>35</v>
      </c>
      <c r="E27" s="21" t="s">
        <v>35</v>
      </c>
      <c r="F27" s="21" t="s">
        <v>35</v>
      </c>
      <c r="G27" s="21" t="s">
        <v>35</v>
      </c>
      <c r="H27" s="21" t="s">
        <v>35</v>
      </c>
      <c r="I27" s="21" t="s">
        <v>35</v>
      </c>
      <c r="J27" s="21" t="s">
        <v>35</v>
      </c>
    </row>
    <row r="28" spans="1:10" s="38" customFormat="1" ht="60.75" customHeight="1" x14ac:dyDescent="0.2">
      <c r="A28" s="21" t="s">
        <v>267</v>
      </c>
      <c r="B28" s="25" t="s">
        <v>268</v>
      </c>
      <c r="C28" s="21" t="s">
        <v>35</v>
      </c>
      <c r="D28" s="21" t="s">
        <v>35</v>
      </c>
      <c r="E28" s="21" t="s">
        <v>35</v>
      </c>
      <c r="F28" s="21" t="s">
        <v>35</v>
      </c>
      <c r="G28" s="21" t="s">
        <v>35</v>
      </c>
      <c r="H28" s="21" t="s">
        <v>35</v>
      </c>
      <c r="I28" s="21" t="s">
        <v>35</v>
      </c>
      <c r="J28" s="21" t="s">
        <v>35</v>
      </c>
    </row>
    <row r="29" spans="1:10" s="38" customFormat="1" ht="45.75" customHeight="1" x14ac:dyDescent="0.2">
      <c r="A29" s="21" t="s">
        <v>269</v>
      </c>
      <c r="B29" s="25" t="s">
        <v>270</v>
      </c>
      <c r="C29" s="21">
        <v>2023</v>
      </c>
      <c r="D29" s="21">
        <v>2023</v>
      </c>
      <c r="E29" s="21">
        <v>2023</v>
      </c>
      <c r="F29" s="21">
        <v>2023</v>
      </c>
      <c r="G29" s="21" t="s">
        <v>35</v>
      </c>
      <c r="H29" s="21" t="s">
        <v>35</v>
      </c>
      <c r="I29" s="21" t="s">
        <v>35</v>
      </c>
      <c r="J29" s="21" t="s">
        <v>35</v>
      </c>
    </row>
    <row r="30" spans="1:10" s="38" customFormat="1" ht="30.75" customHeight="1" x14ac:dyDescent="0.2">
      <c r="A30" s="21" t="s">
        <v>271</v>
      </c>
      <c r="B30" s="25" t="s">
        <v>272</v>
      </c>
      <c r="C30" s="21">
        <v>2023</v>
      </c>
      <c r="D30" s="21">
        <v>2023</v>
      </c>
      <c r="E30" s="21">
        <v>2023</v>
      </c>
      <c r="F30" s="21">
        <v>2023</v>
      </c>
      <c r="G30" s="21" t="s">
        <v>35</v>
      </c>
      <c r="H30" s="21" t="s">
        <v>35</v>
      </c>
      <c r="I30" s="21" t="s">
        <v>35</v>
      </c>
      <c r="J30" s="21" t="s">
        <v>35</v>
      </c>
    </row>
    <row r="31" spans="1:10" s="38" customFormat="1" ht="45.75" customHeight="1" x14ac:dyDescent="0.2">
      <c r="A31" s="21" t="s">
        <v>273</v>
      </c>
      <c r="B31" s="25" t="s">
        <v>274</v>
      </c>
      <c r="C31" s="21">
        <v>2023</v>
      </c>
      <c r="D31" s="21">
        <v>2023</v>
      </c>
      <c r="E31" s="21">
        <v>2023</v>
      </c>
      <c r="F31" s="21">
        <v>2023</v>
      </c>
      <c r="G31" s="21" t="s">
        <v>35</v>
      </c>
      <c r="H31" s="21" t="s">
        <v>35</v>
      </c>
      <c r="I31" s="21" t="s">
        <v>35</v>
      </c>
      <c r="J31" s="21" t="s">
        <v>35</v>
      </c>
    </row>
    <row r="32" spans="1:10" s="38" customFormat="1" ht="60.75" customHeight="1" x14ac:dyDescent="0.2">
      <c r="A32" s="21" t="s">
        <v>275</v>
      </c>
      <c r="B32" s="25" t="s">
        <v>276</v>
      </c>
      <c r="C32" s="143" t="s">
        <v>277</v>
      </c>
      <c r="D32" s="143" t="s">
        <v>277</v>
      </c>
      <c r="E32" s="21" t="s">
        <v>35</v>
      </c>
      <c r="F32" s="21" t="s">
        <v>35</v>
      </c>
      <c r="G32" s="21" t="s">
        <v>35</v>
      </c>
      <c r="H32" s="21" t="s">
        <v>35</v>
      </c>
      <c r="I32" s="21" t="s">
        <v>35</v>
      </c>
      <c r="J32" s="21" t="s">
        <v>35</v>
      </c>
    </row>
    <row r="33" spans="1:10" s="38" customFormat="1" ht="30.75" customHeight="1" x14ac:dyDescent="0.2">
      <c r="A33" s="21" t="s">
        <v>278</v>
      </c>
      <c r="B33" s="25" t="s">
        <v>279</v>
      </c>
      <c r="C33" s="21">
        <v>2023</v>
      </c>
      <c r="D33" s="21">
        <v>2023</v>
      </c>
      <c r="E33" s="21">
        <v>2023</v>
      </c>
      <c r="F33" s="21">
        <v>2023</v>
      </c>
      <c r="G33" s="21" t="s">
        <v>35</v>
      </c>
      <c r="H33" s="21" t="s">
        <v>35</v>
      </c>
      <c r="I33" s="21" t="s">
        <v>35</v>
      </c>
      <c r="J33" s="21" t="s">
        <v>35</v>
      </c>
    </row>
    <row r="34" spans="1:10" s="38" customFormat="1" ht="30.75" customHeight="1" x14ac:dyDescent="0.2">
      <c r="A34" s="21" t="s">
        <v>280</v>
      </c>
      <c r="B34" s="25" t="s">
        <v>281</v>
      </c>
      <c r="C34" s="21" t="s">
        <v>35</v>
      </c>
      <c r="D34" s="21" t="s">
        <v>35</v>
      </c>
      <c r="E34" s="21" t="s">
        <v>35</v>
      </c>
      <c r="F34" s="21" t="s">
        <v>35</v>
      </c>
      <c r="G34" s="21" t="s">
        <v>35</v>
      </c>
      <c r="H34" s="21" t="s">
        <v>35</v>
      </c>
      <c r="I34" s="21" t="s">
        <v>35</v>
      </c>
      <c r="J34" s="21" t="s">
        <v>35</v>
      </c>
    </row>
    <row r="35" spans="1:10" s="38" customFormat="1" ht="30.75" customHeight="1" x14ac:dyDescent="0.2">
      <c r="A35" s="21" t="s">
        <v>282</v>
      </c>
      <c r="B35" s="25" t="s">
        <v>283</v>
      </c>
      <c r="C35" s="21" t="s">
        <v>35</v>
      </c>
      <c r="D35" s="21" t="s">
        <v>35</v>
      </c>
      <c r="E35" s="21" t="s">
        <v>35</v>
      </c>
      <c r="F35" s="21" t="s">
        <v>35</v>
      </c>
      <c r="G35" s="21" t="s">
        <v>35</v>
      </c>
      <c r="H35" s="21" t="s">
        <v>35</v>
      </c>
      <c r="I35" s="21" t="s">
        <v>35</v>
      </c>
      <c r="J35" s="21" t="s">
        <v>35</v>
      </c>
    </row>
    <row r="36" spans="1:10" s="38" customFormat="1" ht="15.75" customHeight="1" x14ac:dyDescent="0.2">
      <c r="A36" s="24">
        <v>2</v>
      </c>
      <c r="B36" s="25" t="s">
        <v>284</v>
      </c>
      <c r="C36" s="21" t="s">
        <v>35</v>
      </c>
      <c r="D36" s="21" t="s">
        <v>35</v>
      </c>
      <c r="E36" s="21" t="s">
        <v>35</v>
      </c>
      <c r="F36" s="21" t="s">
        <v>35</v>
      </c>
      <c r="G36" s="21" t="s">
        <v>35</v>
      </c>
      <c r="H36" s="21" t="s">
        <v>35</v>
      </c>
      <c r="I36" s="21" t="s">
        <v>35</v>
      </c>
      <c r="J36" s="21" t="s">
        <v>35</v>
      </c>
    </row>
    <row r="37" spans="1:10" s="38" customFormat="1" ht="75.75" customHeight="1" x14ac:dyDescent="0.2">
      <c r="A37" s="21" t="s">
        <v>285</v>
      </c>
      <c r="B37" s="25" t="s">
        <v>286</v>
      </c>
      <c r="C37" s="21">
        <v>2023</v>
      </c>
      <c r="D37" s="21">
        <v>2023</v>
      </c>
      <c r="E37" s="21">
        <v>2023</v>
      </c>
      <c r="F37" s="21">
        <v>2023</v>
      </c>
      <c r="G37" s="21" t="s">
        <v>35</v>
      </c>
      <c r="H37" s="21" t="s">
        <v>35</v>
      </c>
      <c r="I37" s="21" t="s">
        <v>35</v>
      </c>
      <c r="J37" s="21" t="s">
        <v>35</v>
      </c>
    </row>
    <row r="38" spans="1:10" s="38" customFormat="1" ht="31.5" customHeight="1" x14ac:dyDescent="0.2">
      <c r="A38" s="21" t="s">
        <v>287</v>
      </c>
      <c r="B38" s="25" t="s">
        <v>288</v>
      </c>
      <c r="C38" s="21">
        <v>2023</v>
      </c>
      <c r="D38" s="21">
        <v>2023</v>
      </c>
      <c r="E38" s="21">
        <v>2023</v>
      </c>
      <c r="F38" s="21">
        <v>2023</v>
      </c>
      <c r="G38" s="21" t="s">
        <v>35</v>
      </c>
      <c r="H38" s="21" t="s">
        <v>35</v>
      </c>
      <c r="I38" s="21" t="s">
        <v>35</v>
      </c>
      <c r="J38" s="21" t="s">
        <v>35</v>
      </c>
    </row>
    <row r="39" spans="1:10" s="38" customFormat="1" ht="45.75" customHeight="1" x14ac:dyDescent="0.2">
      <c r="A39" s="24">
        <v>3</v>
      </c>
      <c r="B39" s="25" t="s">
        <v>289</v>
      </c>
      <c r="C39" s="21">
        <v>2023</v>
      </c>
      <c r="D39" s="21">
        <v>2023</v>
      </c>
      <c r="E39" s="21">
        <v>2023</v>
      </c>
      <c r="F39" s="21">
        <v>2023</v>
      </c>
      <c r="G39" s="21" t="s">
        <v>35</v>
      </c>
      <c r="H39" s="21" t="s">
        <v>35</v>
      </c>
      <c r="I39" s="21" t="s">
        <v>35</v>
      </c>
      <c r="J39" s="21" t="s">
        <v>35</v>
      </c>
    </row>
    <row r="40" spans="1:10" s="38" customFormat="1" ht="42.75" customHeight="1" x14ac:dyDescent="0.2">
      <c r="A40" s="21" t="s">
        <v>290</v>
      </c>
      <c r="B40" s="25" t="s">
        <v>291</v>
      </c>
      <c r="C40" s="21">
        <v>2023</v>
      </c>
      <c r="D40" s="21">
        <v>2023</v>
      </c>
      <c r="E40" s="21">
        <v>2023</v>
      </c>
      <c r="F40" s="21">
        <v>2023</v>
      </c>
      <c r="G40" s="21" t="s">
        <v>35</v>
      </c>
      <c r="H40" s="21" t="s">
        <v>35</v>
      </c>
      <c r="I40" s="21" t="s">
        <v>35</v>
      </c>
      <c r="J40" s="21" t="s">
        <v>35</v>
      </c>
    </row>
    <row r="41" spans="1:10" s="38" customFormat="1" ht="30.75" customHeight="1" x14ac:dyDescent="0.2">
      <c r="A41" s="21" t="s">
        <v>292</v>
      </c>
      <c r="B41" s="25" t="s">
        <v>293</v>
      </c>
      <c r="C41" s="21">
        <v>2023</v>
      </c>
      <c r="D41" s="21">
        <v>2023</v>
      </c>
      <c r="E41" s="21">
        <v>2023</v>
      </c>
      <c r="F41" s="21">
        <v>2023</v>
      </c>
      <c r="G41" s="21" t="s">
        <v>35</v>
      </c>
      <c r="H41" s="21" t="s">
        <v>35</v>
      </c>
      <c r="I41" s="21" t="s">
        <v>35</v>
      </c>
      <c r="J41" s="21" t="s">
        <v>35</v>
      </c>
    </row>
    <row r="42" spans="1:10" s="38" customFormat="1" ht="30.75" customHeight="1" x14ac:dyDescent="0.2">
      <c r="A42" s="21" t="s">
        <v>294</v>
      </c>
      <c r="B42" s="25" t="s">
        <v>295</v>
      </c>
      <c r="C42" s="21">
        <v>2023</v>
      </c>
      <c r="D42" s="21">
        <v>2023</v>
      </c>
      <c r="E42" s="21">
        <v>2023</v>
      </c>
      <c r="F42" s="21">
        <v>2023</v>
      </c>
      <c r="G42" s="21" t="s">
        <v>35</v>
      </c>
      <c r="H42" s="21" t="s">
        <v>35</v>
      </c>
      <c r="I42" s="21" t="s">
        <v>35</v>
      </c>
      <c r="J42" s="21" t="s">
        <v>35</v>
      </c>
    </row>
    <row r="43" spans="1:10" s="38" customFormat="1" ht="75.75" customHeight="1" x14ac:dyDescent="0.2">
      <c r="A43" s="21" t="s">
        <v>296</v>
      </c>
      <c r="B43" s="25" t="s">
        <v>297</v>
      </c>
      <c r="C43" s="21" t="s">
        <v>35</v>
      </c>
      <c r="D43" s="21" t="s">
        <v>35</v>
      </c>
      <c r="E43" s="21" t="s">
        <v>35</v>
      </c>
      <c r="F43" s="21" t="s">
        <v>35</v>
      </c>
      <c r="G43" s="21" t="s">
        <v>35</v>
      </c>
      <c r="H43" s="21" t="s">
        <v>35</v>
      </c>
      <c r="I43" s="21" t="s">
        <v>35</v>
      </c>
      <c r="J43" s="21" t="s">
        <v>35</v>
      </c>
    </row>
    <row r="44" spans="1:10" s="38" customFormat="1" ht="105.75" customHeight="1" x14ac:dyDescent="0.2">
      <c r="A44" s="21" t="s">
        <v>298</v>
      </c>
      <c r="B44" s="25" t="s">
        <v>299</v>
      </c>
      <c r="C44" s="21" t="s">
        <v>35</v>
      </c>
      <c r="D44" s="21" t="s">
        <v>35</v>
      </c>
      <c r="E44" s="21" t="s">
        <v>35</v>
      </c>
      <c r="F44" s="21" t="s">
        <v>35</v>
      </c>
      <c r="G44" s="21" t="s">
        <v>35</v>
      </c>
      <c r="H44" s="21" t="s">
        <v>35</v>
      </c>
      <c r="I44" s="21" t="s">
        <v>35</v>
      </c>
      <c r="J44" s="21" t="s">
        <v>35</v>
      </c>
    </row>
    <row r="45" spans="1:10" s="38" customFormat="1" ht="15.75" customHeight="1" x14ac:dyDescent="0.2">
      <c r="A45" s="21" t="s">
        <v>300</v>
      </c>
      <c r="B45" s="25" t="s">
        <v>301</v>
      </c>
      <c r="C45" s="21">
        <v>2023</v>
      </c>
      <c r="D45" s="21">
        <v>2023</v>
      </c>
      <c r="E45" s="21">
        <v>2023</v>
      </c>
      <c r="F45" s="21">
        <v>2023</v>
      </c>
      <c r="G45" s="21" t="s">
        <v>35</v>
      </c>
      <c r="H45" s="21" t="s">
        <v>35</v>
      </c>
      <c r="I45" s="21" t="s">
        <v>35</v>
      </c>
      <c r="J45" s="21" t="s">
        <v>35</v>
      </c>
    </row>
    <row r="46" spans="1:10" s="38" customFormat="1" ht="30.75" customHeight="1" x14ac:dyDescent="0.2">
      <c r="A46" s="24">
        <v>4</v>
      </c>
      <c r="B46" s="25" t="s">
        <v>302</v>
      </c>
      <c r="C46" s="21">
        <v>2023</v>
      </c>
      <c r="D46" s="21">
        <v>2023</v>
      </c>
      <c r="E46" s="21">
        <v>2023</v>
      </c>
      <c r="F46" s="21">
        <v>2023</v>
      </c>
      <c r="G46" s="21" t="s">
        <v>35</v>
      </c>
      <c r="H46" s="21" t="s">
        <v>35</v>
      </c>
      <c r="I46" s="21" t="s">
        <v>35</v>
      </c>
      <c r="J46" s="21" t="s">
        <v>35</v>
      </c>
    </row>
    <row r="47" spans="1:10" s="38" customFormat="1" ht="30.75" customHeight="1" x14ac:dyDescent="0.2">
      <c r="A47" s="21" t="s">
        <v>303</v>
      </c>
      <c r="B47" s="25" t="s">
        <v>304</v>
      </c>
      <c r="C47" s="21" t="s">
        <v>35</v>
      </c>
      <c r="D47" s="21" t="s">
        <v>35</v>
      </c>
      <c r="E47" s="21" t="s">
        <v>35</v>
      </c>
      <c r="F47" s="21" t="s">
        <v>35</v>
      </c>
      <c r="G47" s="21" t="s">
        <v>35</v>
      </c>
      <c r="H47" s="21" t="s">
        <v>35</v>
      </c>
      <c r="I47" s="21" t="s">
        <v>35</v>
      </c>
      <c r="J47" s="21" t="s">
        <v>35</v>
      </c>
    </row>
    <row r="48" spans="1:10" s="38" customFormat="1" ht="91.5" customHeight="1" x14ac:dyDescent="0.2">
      <c r="A48" s="21" t="s">
        <v>305</v>
      </c>
      <c r="B48" s="25" t="s">
        <v>306</v>
      </c>
      <c r="C48" s="21">
        <v>2023</v>
      </c>
      <c r="D48" s="21">
        <v>2023</v>
      </c>
      <c r="E48" s="21">
        <v>2023</v>
      </c>
      <c r="F48" s="21">
        <v>2023</v>
      </c>
      <c r="G48" s="21" t="s">
        <v>35</v>
      </c>
      <c r="H48" s="21" t="s">
        <v>35</v>
      </c>
      <c r="I48" s="21" t="s">
        <v>35</v>
      </c>
      <c r="J48" s="21" t="s">
        <v>35</v>
      </c>
    </row>
    <row r="49" spans="1:10" s="38" customFormat="1" ht="60.75" customHeight="1" x14ac:dyDescent="0.2">
      <c r="A49" s="21" t="s">
        <v>307</v>
      </c>
      <c r="B49" s="25" t="s">
        <v>308</v>
      </c>
      <c r="C49" s="21">
        <v>2023</v>
      </c>
      <c r="D49" s="21">
        <v>2023</v>
      </c>
      <c r="E49" s="21">
        <v>2023</v>
      </c>
      <c r="F49" s="21">
        <v>2023</v>
      </c>
      <c r="G49" s="21" t="s">
        <v>35</v>
      </c>
      <c r="H49" s="21" t="s">
        <v>35</v>
      </c>
      <c r="I49" s="21" t="s">
        <v>35</v>
      </c>
      <c r="J49" s="21" t="s">
        <v>35</v>
      </c>
    </row>
    <row r="50" spans="1:10" s="38" customFormat="1" ht="75.75" customHeight="1" x14ac:dyDescent="0.2">
      <c r="A50" s="21" t="s">
        <v>309</v>
      </c>
      <c r="B50" s="25" t="s">
        <v>310</v>
      </c>
      <c r="C50" s="143" t="s">
        <v>277</v>
      </c>
      <c r="D50" s="143" t="s">
        <v>277</v>
      </c>
      <c r="E50" s="21" t="s">
        <v>35</v>
      </c>
      <c r="F50" s="21" t="s">
        <v>35</v>
      </c>
      <c r="G50" s="21" t="s">
        <v>35</v>
      </c>
      <c r="H50" s="21" t="s">
        <v>35</v>
      </c>
      <c r="I50" s="21" t="s">
        <v>35</v>
      </c>
      <c r="J50" s="21" t="s">
        <v>35</v>
      </c>
    </row>
    <row r="51" spans="1:10" s="38" customFormat="1" ht="30.75" customHeight="1" x14ac:dyDescent="0.2">
      <c r="A51" s="21" t="s">
        <v>311</v>
      </c>
      <c r="B51" s="25" t="s">
        <v>312</v>
      </c>
      <c r="C51" s="21">
        <v>2023</v>
      </c>
      <c r="D51" s="21">
        <v>2023</v>
      </c>
      <c r="E51" s="21">
        <v>2023</v>
      </c>
      <c r="F51" s="21">
        <v>2023</v>
      </c>
      <c r="G51" s="21" t="s">
        <v>35</v>
      </c>
      <c r="H51" s="21" t="s">
        <v>35</v>
      </c>
      <c r="I51" s="21" t="s">
        <v>35</v>
      </c>
      <c r="J51" s="21" t="s">
        <v>35</v>
      </c>
    </row>
    <row r="52" spans="1:10" s="38" customFormat="1" ht="30.75" customHeight="1" x14ac:dyDescent="0.2">
      <c r="A52" s="21" t="s">
        <v>313</v>
      </c>
      <c r="B52" s="25" t="s">
        <v>314</v>
      </c>
      <c r="C52" s="21">
        <v>2023</v>
      </c>
      <c r="D52" s="21">
        <v>2023</v>
      </c>
      <c r="E52" s="21">
        <v>2023</v>
      </c>
      <c r="F52" s="21">
        <v>2023</v>
      </c>
      <c r="G52" s="21" t="s">
        <v>35</v>
      </c>
      <c r="H52" s="21" t="s">
        <v>35</v>
      </c>
      <c r="I52" s="21" t="s">
        <v>35</v>
      </c>
      <c r="J52" s="21" t="s">
        <v>35</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323</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3.3 паспорт описание</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Подлесная</cp:lastModifiedBy>
  <cp:revision>33</cp:revision>
  <cp:lastPrinted>2023-10-04T07:44:12Z</cp:lastPrinted>
  <dcterms:created xsi:type="dcterms:W3CDTF">2023-02-17T07:14:00Z</dcterms:created>
  <dcterms:modified xsi:type="dcterms:W3CDTF">2024-03-29T05:29:58Z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F277CD5D88A54192B6503D04195FA5F9</vt:lpwstr>
  </property>
  <property fmtid="{D5CDD505-2E9C-101B-9397-08002B2CF9AE}" pid="3" name="KSOProductBuildVer">
    <vt:lpwstr>1049-11.2.0.11440</vt:lpwstr>
  </property>
</Properties>
</file>